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IRODRIGUEZ\Documents\Unidad_E\Oficina- DESC\AÑO 2024\DDHH y Empresas 2024\Proyecto Nestlé\"/>
    </mc:Choice>
  </mc:AlternateContent>
  <bookViews>
    <workbookView xWindow="0" yWindow="0" windowWidth="24000" windowHeight="9630"/>
  </bookViews>
  <sheets>
    <sheet name="Inicio" sheetId="8" r:id="rId1"/>
    <sheet name="Compromiso institucional" sheetId="1" r:id="rId2"/>
    <sheet name="Grupos de interés" sheetId="2" r:id="rId3"/>
    <sheet name="Acciones prevención y rep." sheetId="3" r:id="rId4"/>
    <sheet name="Monitoreo y evaluación" sheetId="4" r:id="rId5"/>
    <sheet name="Resultados" sheetId="5" r:id="rId6"/>
    <sheet name="Recomendaciones estructurales" sheetId="6" r:id="rId7"/>
    <sheet name="Recomendaciones específicas"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7" l="1"/>
  <c r="M14" i="7"/>
  <c r="M13" i="7"/>
  <c r="M12" i="7"/>
  <c r="M11" i="7"/>
  <c r="M10" i="7"/>
  <c r="M9" i="7"/>
  <c r="M8" i="7"/>
  <c r="M7" i="7"/>
  <c r="M6" i="7"/>
  <c r="M5" i="7"/>
  <c r="M4" i="7"/>
  <c r="M3" i="7"/>
  <c r="M2" i="7"/>
  <c r="I40" i="7"/>
  <c r="I41" i="7"/>
  <c r="I39" i="7"/>
  <c r="I38" i="7"/>
  <c r="I37" i="7"/>
  <c r="I36" i="7"/>
  <c r="I35" i="7"/>
  <c r="I34" i="7"/>
  <c r="I33" i="7"/>
  <c r="I32" i="7"/>
  <c r="I31" i="7"/>
  <c r="I30" i="7"/>
  <c r="I29" i="7"/>
  <c r="I28" i="7"/>
  <c r="I27" i="7"/>
  <c r="I26" i="7"/>
  <c r="I25" i="7"/>
  <c r="I24" i="7"/>
  <c r="I23" i="7"/>
  <c r="I22" i="7"/>
  <c r="I20" i="7"/>
  <c r="I21" i="7"/>
  <c r="I19" i="7"/>
  <c r="I18" i="7"/>
  <c r="I8" i="7"/>
  <c r="I7" i="7"/>
  <c r="I5" i="7"/>
  <c r="I4" i="7"/>
  <c r="I3" i="7"/>
  <c r="E37" i="7"/>
  <c r="E36" i="7"/>
  <c r="E31" i="7"/>
  <c r="E30" i="7"/>
  <c r="E25" i="7"/>
  <c r="E26" i="7"/>
  <c r="E24" i="7"/>
  <c r="E23" i="7"/>
  <c r="E22" i="7"/>
  <c r="E21" i="7"/>
  <c r="E20" i="7"/>
  <c r="A18" i="7"/>
  <c r="E19" i="7"/>
  <c r="E18" i="7"/>
  <c r="E17" i="7"/>
  <c r="E15" i="7"/>
  <c r="E16" i="7"/>
  <c r="E14" i="7"/>
  <c r="E13" i="7"/>
  <c r="E12" i="7"/>
  <c r="E10" i="7"/>
  <c r="E8" i="7"/>
  <c r="E9" i="7"/>
  <c r="E3" i="7"/>
  <c r="E6" i="7"/>
  <c r="E2" i="7"/>
  <c r="A28" i="7"/>
  <c r="A29" i="7"/>
  <c r="A27" i="7"/>
  <c r="A26" i="7"/>
  <c r="A25" i="7"/>
  <c r="A20" i="7"/>
  <c r="A12" i="7"/>
  <c r="A13" i="7"/>
  <c r="A10" i="7"/>
  <c r="A11" i="7"/>
  <c r="A9" i="7"/>
  <c r="A7" i="7"/>
  <c r="A8" i="7"/>
  <c r="A6" i="7"/>
  <c r="A5" i="7"/>
  <c r="A4" i="7"/>
  <c r="A3" i="7"/>
  <c r="A2" i="7"/>
  <c r="E6" i="6"/>
  <c r="E4" i="6"/>
  <c r="E3" i="6"/>
  <c r="E2" i="6"/>
  <c r="A7" i="6"/>
  <c r="A6" i="6"/>
  <c r="A5" i="6"/>
  <c r="A3" i="6"/>
  <c r="A2" i="6"/>
  <c r="A4" i="6"/>
  <c r="J13" i="5"/>
  <c r="J12" i="5"/>
  <c r="J11" i="5"/>
  <c r="J8" i="5"/>
  <c r="J7" i="5"/>
  <c r="J6" i="5"/>
  <c r="J5" i="5"/>
  <c r="P6" i="4"/>
  <c r="O6" i="4"/>
  <c r="L6" i="4"/>
  <c r="V4" i="3"/>
  <c r="K4" i="3"/>
  <c r="I2" i="7" s="1"/>
  <c r="U5" i="2"/>
  <c r="O5" i="2"/>
  <c r="N5" i="2"/>
  <c r="M5" i="2"/>
  <c r="L5" i="2"/>
  <c r="E11" i="7" s="1"/>
  <c r="K5" i="2"/>
  <c r="E7" i="7" s="1"/>
  <c r="E38" i="7" l="1"/>
  <c r="E39" i="7"/>
  <c r="E5" i="7"/>
  <c r="L7" i="1"/>
  <c r="K7" i="1"/>
  <c r="M6" i="4"/>
  <c r="N6" i="4"/>
  <c r="T4" i="3"/>
  <c r="S4" i="3"/>
  <c r="R4" i="3"/>
  <c r="Q4" i="3"/>
  <c r="P4" i="3"/>
  <c r="O4" i="3"/>
  <c r="N4" i="3"/>
  <c r="M4" i="3"/>
  <c r="L4" i="3"/>
  <c r="U4" i="3"/>
  <c r="T5" i="2"/>
  <c r="S5" i="2"/>
  <c r="R5" i="2"/>
  <c r="Q5" i="2"/>
  <c r="P5" i="2"/>
  <c r="U7" i="1"/>
  <c r="T7" i="1"/>
  <c r="S7" i="1"/>
  <c r="A23" i="7" s="1"/>
  <c r="R7" i="1"/>
  <c r="Q7" i="1"/>
  <c r="P7" i="1"/>
  <c r="A16" i="7" s="1"/>
  <c r="O7" i="1"/>
  <c r="N7" i="1"/>
  <c r="M7" i="1"/>
  <c r="E35" i="7" l="1"/>
  <c r="I17" i="7"/>
  <c r="I16" i="7"/>
  <c r="I15" i="7"/>
  <c r="I10" i="7"/>
  <c r="I11" i="7"/>
  <c r="I6" i="7"/>
  <c r="I9" i="7"/>
  <c r="I13" i="7"/>
  <c r="I12" i="7"/>
  <c r="E34" i="7"/>
  <c r="E33" i="7"/>
  <c r="E32" i="7"/>
  <c r="E29" i="7"/>
  <c r="E28" i="7"/>
  <c r="P7" i="4"/>
  <c r="G5" i="5" s="1"/>
  <c r="A22" i="7"/>
  <c r="A21" i="7"/>
  <c r="A15" i="7"/>
  <c r="A24" i="7"/>
  <c r="A17" i="7"/>
  <c r="U5" i="3"/>
  <c r="I5" i="3" s="1"/>
  <c r="S8" i="1"/>
  <c r="A5" i="5" s="1"/>
  <c r="U6" i="2"/>
  <c r="I5" i="2" s="1"/>
  <c r="M4" i="6" l="1"/>
  <c r="M2" i="6"/>
  <c r="M3" i="6"/>
  <c r="M5" i="6"/>
  <c r="E11" i="5"/>
  <c r="A8" i="6"/>
  <c r="E14" i="5"/>
  <c r="I5" i="4"/>
  <c r="C5" i="5"/>
  <c r="E5" i="5"/>
  <c r="I5" i="1"/>
  <c r="G7" i="5" l="1"/>
  <c r="E12" i="5"/>
  <c r="E8" i="6"/>
  <c r="E13" i="5"/>
  <c r="I6" i="6"/>
  <c r="I7" i="6"/>
  <c r="I2" i="6"/>
  <c r="I5" i="6"/>
  <c r="I4" i="6"/>
  <c r="I3" i="6"/>
  <c r="E5" i="6"/>
  <c r="E7" i="6"/>
  <c r="J4" i="5"/>
  <c r="J9" i="5" l="1"/>
  <c r="J10" i="5"/>
</calcChain>
</file>

<file path=xl/sharedStrings.xml><?xml version="1.0" encoding="utf-8"?>
<sst xmlns="http://schemas.openxmlformats.org/spreadsheetml/2006/main" count="155" uniqueCount="98">
  <si>
    <t>Instrucciones de uso de la Herramienta</t>
  </si>
  <si>
    <t>Herramienta para el auto-diagnóstico en Derechos Humanos</t>
  </si>
  <si>
    <t>¿Cómo llenarla?</t>
  </si>
  <si>
    <r>
      <rPr>
        <sz val="11"/>
        <color rgb="FF000000"/>
        <rFont val="Calibri"/>
        <family val="2"/>
        <scheme val="minor"/>
      </rPr>
      <t xml:space="preserve">En la pestaña de cada esfera se encuentran preguntas que permiten indagar sobre el estado de la empresa frente a esa categoría. Quien llene la Herramienta, </t>
    </r>
    <r>
      <rPr>
        <b/>
        <sz val="11"/>
        <color rgb="FF000000"/>
        <rFont val="Calibri"/>
        <family val="2"/>
        <scheme val="minor"/>
      </rPr>
      <t>debe escribir un 1 en la respuesta correspondiente de cada pregunta</t>
    </r>
    <r>
      <rPr>
        <sz val="11"/>
        <color rgb="FF000000"/>
        <rFont val="Calibri"/>
        <family val="2"/>
        <scheme val="minor"/>
      </rPr>
      <t xml:space="preserve"> según su caso específico. </t>
    </r>
    <r>
      <rPr>
        <b/>
        <sz val="11"/>
        <color rgb="FF000000"/>
        <rFont val="Calibri"/>
        <family val="2"/>
        <scheme val="minor"/>
      </rPr>
      <t>Cada pregunta debe tener sólo una casilla marcada.</t>
    </r>
  </si>
  <si>
    <t>Esfera</t>
  </si>
  <si>
    <t>Objetivo</t>
  </si>
  <si>
    <t>Ruta</t>
  </si>
  <si>
    <t>Compromiso institucional</t>
  </si>
  <si>
    <t>Valora la relevancia que las PYMES le otorgan a los Derechos Humanos dentro de sus políticas y procedimientos internos e institucionales.</t>
  </si>
  <si>
    <t>Ir a la hoja 'Compromiso institucional'</t>
  </si>
  <si>
    <t>Interpretación de resultados</t>
  </si>
  <si>
    <r>
      <rPr>
        <sz val="11"/>
        <color rgb="FF000000"/>
        <rFont val="Calibri"/>
        <family val="2"/>
        <scheme val="minor"/>
      </rPr>
      <t xml:space="preserve">Después de responder las preguntas de las cuatro esferas, podrá dirigirse a la hoja 'Resultados', donde </t>
    </r>
    <r>
      <rPr>
        <b/>
        <sz val="11"/>
        <color rgb="FF000000"/>
        <rFont val="Calibri"/>
        <family val="2"/>
        <scheme val="minor"/>
      </rPr>
      <t>encontrará el diagnóstico de desempeño para cada esfera y el general de la Herramienta,</t>
    </r>
    <r>
      <rPr>
        <sz val="11"/>
        <color rgb="FF000000"/>
        <rFont val="Calibri"/>
        <family val="2"/>
        <scheme val="minor"/>
      </rPr>
      <t xml:space="preserve"> tanto en formato numérico (porcentaje de satisfacción) como en gráfico (radar de dispersión). Adicionalmente, en esta hoja encontrará </t>
    </r>
    <r>
      <rPr>
        <b/>
        <sz val="11"/>
        <color rgb="FF000000"/>
        <rFont val="Calibri"/>
        <family val="2"/>
        <scheme val="minor"/>
      </rPr>
      <t>recomendaciones generales</t>
    </r>
    <r>
      <rPr>
        <sz val="11"/>
        <color rgb="FF000000"/>
        <rFont val="Calibri"/>
        <family val="2"/>
        <scheme val="minor"/>
      </rPr>
      <t xml:space="preserve"> según sus respuestas.</t>
    </r>
  </si>
  <si>
    <t>Grupos de interés</t>
  </si>
  <si>
    <t xml:space="preserve">Genera una caracterización del ecosistema de actores relevantes, su relacionamiento con las PYMES e involucramiento en la prevención y mitigación de vulneración de DDHH. </t>
  </si>
  <si>
    <t>Ir a la hoja 'Grupos de interés'</t>
  </si>
  <si>
    <t>Acciones de prevención y reparación</t>
  </si>
  <si>
    <t>Determina qué acciones o con qué procesos cuentan las PYMES para prevenir y reparar la vulneración de DDHH como producto de su actividad empresarial.</t>
  </si>
  <si>
    <t>Ir a la hoja 'Acciones de prevención y reparación'</t>
  </si>
  <si>
    <t>Monitoreo y evaluación</t>
  </si>
  <si>
    <t>Evalua los procesos para monitorear y hacer seguimiento a los impactos reales y potenciales que puede tener la actividad empresarial sobre los DDHH.</t>
  </si>
  <si>
    <t>Ir a la hoja 'Monitoreo y evaluación'</t>
  </si>
  <si>
    <t>Recomendaciones</t>
  </si>
  <si>
    <r>
      <rPr>
        <sz val="11"/>
        <color rgb="FF000000"/>
        <rFont val="Calibri"/>
        <family val="2"/>
        <scheme val="minor"/>
      </rPr>
      <t xml:space="preserve">En las hojas 'Recomendaciones estructurales' y 'Recomendaciones específicas' encontrará, respectivamente, una sugerencia por cada esfera en la que haya obtenido un puntaje menor al 50% y recomendaciones específicas para los componentes de la esfera que estén por debajo de ese nivel. </t>
    </r>
    <r>
      <rPr>
        <b/>
        <sz val="11"/>
        <color rgb="FF000000"/>
        <rFont val="Calibri"/>
        <family val="2"/>
        <scheme val="minor"/>
      </rPr>
      <t>Es fundamental que se revise la hoja en su totalidad,</t>
    </r>
    <r>
      <rPr>
        <sz val="11"/>
        <color rgb="FF000000"/>
        <rFont val="Calibri"/>
        <family val="2"/>
        <scheme val="minor"/>
      </rPr>
      <t xml:space="preserve"> ya que las recomendaciones que apliquen pueden encontrarse en la parte inferior en algunos casos. </t>
    </r>
  </si>
  <si>
    <t>#</t>
  </si>
  <si>
    <t>Preguntas</t>
  </si>
  <si>
    <t>Totalmente de acuerdo</t>
  </si>
  <si>
    <t>De acuerdo</t>
  </si>
  <si>
    <t>En desacuerdo</t>
  </si>
  <si>
    <t>Totalmente en desacuerdo</t>
  </si>
  <si>
    <t xml:space="preserve">Marque 1 en la respuesta que seleccione </t>
  </si>
  <si>
    <t>¿Existe una política institucional que haga explícito el compromiso por los DDHH de trabajadores, proveedores y clientes dentro de los procesos operativos?</t>
  </si>
  <si>
    <t>Compromiso político institucional</t>
  </si>
  <si>
    <t>¿Existe una política institucional en la que se establezcan las metas a cumplir (y los responsables de hacerlas efectivas) en materia de compromiso por los DDHH de trabajadores, proveedores y clientes?</t>
  </si>
  <si>
    <t>VD 1</t>
  </si>
  <si>
    <t>VD 2</t>
  </si>
  <si>
    <t>VD 3</t>
  </si>
  <si>
    <t>VD 4</t>
  </si>
  <si>
    <t>VD 5</t>
  </si>
  <si>
    <t>VD 6</t>
  </si>
  <si>
    <t>VD 7</t>
  </si>
  <si>
    <t>¿Existe una política institucional en la que se haga explícito el trabajo en conjunto con proveedores y aliados en favor de la protección de los DDHH de trabajadores, proveedores y clientes?</t>
  </si>
  <si>
    <t>¿Los proveedores de servicios que hacen parte de las cadenas de operación de la empresa tienen exigencias contractuales en materia de respeto por los Derechos Humanos?</t>
  </si>
  <si>
    <t>Puntaje esfera</t>
  </si>
  <si>
    <t>¿Los principios y valores corporativos de la empresa incluyen el trato igualitario y respeto por los Derechos Humanos?</t>
  </si>
  <si>
    <t>¿Existe alguna ruta de acción para poner en práctica los valores y principios corporativos que favorecen el respeto por los DDHH?</t>
  </si>
  <si>
    <t>¿Los códigos de convivencia o comportamiento de la empresa especifican las expectativas de conducta respetuosa hacia los Derechos Humanos en el ambiente laboral?</t>
  </si>
  <si>
    <t xml:space="preserve">Dentro del organigrama de la empresa, ¿hay algún cargo o departamento que se encargue puntualmente de monitorear la situación de Derechos Humanos en el ambiente laboral y las vulneraciones que surgen de los procesos de la empresa? </t>
  </si>
  <si>
    <t>¿Cómo es el relacionamiento con los grupos de interés y como este relacionamiento tiene un impacto en las decisiones que se toman al interior de la organización?</t>
  </si>
  <si>
    <t>¿La empresa comunica de manera periódica (anual, semestral, bimestral) las acciones que se han tomado para prevenir la vulneración en Derechos Humanos y gestionar los casos reportados al interior del ambiente laboral hacia los trabajadores, proveedores y otros aliados?</t>
  </si>
  <si>
    <t>¿Los reportes/informes de situación de Derechos Humanos al interior del ambiente laboral de la empresa elaborados en el pasado son accesibles a los trabajadores?</t>
  </si>
  <si>
    <t>Identificación de grupos de interés</t>
  </si>
  <si>
    <t>¿La empresa ha hecho o hace una caracterización o análisis del entorno de su operación?</t>
  </si>
  <si>
    <t>¿Se identifican los impactos de vulneración de DDHH asociados a la operación de la empresa y el contexto de sus actividades?</t>
  </si>
  <si>
    <t>¿La empresa identifica diferentes grupos de personas que pueden verse directamente afectadas por su operación (p.e. empleados, contratistas, proveedores, distribuidores, inversionistas, socios, instituciones de gobierno, autoridades, clientes, comunidad cercana a la empresa, organizaciones de la sociedad civil u otros)?</t>
  </si>
  <si>
    <t>¿La empresa identifica cómo su operación puede afectar a grupos vulnerables y/o de especial protección constitucional (p.e. mujeres, niñez y adolescencia, campesinos, población étnica, personas con discapacidad, adultos mayores, comunidad LGBTIQ+, entre otros)?</t>
  </si>
  <si>
    <t xml:space="preserve">¿Se cuenta con algún mecanismo de consulta y participación con enfoque de DDHH para los grupos de interés? </t>
  </si>
  <si>
    <t>¿La empresa respeta y garantiza los derechos de sus empleados y contratistas?</t>
  </si>
  <si>
    <t>¿Se garantiza la afiliación a seguridad social de los empleados de la empresa?</t>
  </si>
  <si>
    <t xml:space="preserve">¿La empresa se asegura de no promover bajo ninguna circunstancia el trabajo infantil y/o forzoso? </t>
  </si>
  <si>
    <t>¿Los procesos de contratación en la empresa son transparentes, igualitarios y no discriminatorios?</t>
  </si>
  <si>
    <t>¿Las relaciones con la comunidad, los grupos de interés priorizados, ONG y organizaciones de la sociedad civil, las entidades del orden nacional y territorial y otras PYMES son armoniosas y basadas en el respeto de los DDHH?</t>
  </si>
  <si>
    <t>¿Hay disposición a escuchar a estos actores, recibir retroalimentación e incorporar dicha retroalimentación a los procesos de la empresa?</t>
  </si>
  <si>
    <t>¿Existen mecanismos para denunciar un caso de vulneración a los Derechos Humanos (discriminación, falta de acceso a servicios básicos, explotación laboral, entre otros) en el ambiente laboral y en los escenarios en los que se desarrollan los procesos operativos (cadena de suministro, entrega del servicio, etc.)?</t>
  </si>
  <si>
    <t>¿Existe protección laboral y de confidencialidad para una persona que denuncie un caso de vulneración a los Derechos Humanos  (discriminación, falta de acceso a servicios básicos, explotación laboral, entre otros)?</t>
  </si>
  <si>
    <t>¿La empresa se asegura de que los canales o mecanismos para denunciar un caso de vulneración a los Derechos Humanos sean conocidos por toda la organización y se puedan usar de forma accesible?</t>
  </si>
  <si>
    <t>¿Está publicado y difundido con los trabajadores y colaboradores algún documento oficial que especifique las consecuencias de vulnerar los Derechos Humanos dentro del ambiente laboral?</t>
  </si>
  <si>
    <t>¿Los procesos de reparación de daño ante una vulneración a los Derechos Humanos se enfocan en generar acciones que garanticen la no repetición de casos similares?</t>
  </si>
  <si>
    <t>¿La empresa contempla más de una forma de reparación del daño a las víctimas de vulneración de Derechos Humanos en el ambiente laboral? Estas pueden incluir disculpas, restituciones o rehabilitaciones, compensaciones financieras o no financieras (educativas, fondos de compensación), sanciones punitivas, entre otras. </t>
  </si>
  <si>
    <t>A  la hora de reparar el daño por una vulneración a los Derechos Humanos en el ambiente laboral ¿La empresa tiene en cuenta las opiniones y preferencias de la víctima de la vulneración?</t>
  </si>
  <si>
    <t>En los últimos 12 meses, ¿La empresa ha realizado alguna acción concreta (jornada informativa, capacitación, campaña visual, ajuste institucional, entre otros) para prevenir la discriminación o vulneración basada en género en el ambiente laboral?</t>
  </si>
  <si>
    <t>En los últimos 12 meses, ¿La empresa ha realizado alguna acción concreta (jornada informativa, capacitación, campaña visual, ajuste institucional, entre otros) para prevenir la discriminación o vulneración hacia las personas de los sectores sociales LGBTI en el ambiente laboral?</t>
  </si>
  <si>
    <t>En los últimos 12 meses, ¿La empresa ha realizado alguna acción concreta (jornada informativa, capacitación, campaña visual, ajuste institucional, entre otros) para prevenir la discriminación o vulneración hacia las personas racializadas o con pertenencia étnica en el ambiente laboral?</t>
  </si>
  <si>
    <t>En los últimos 12 meses, ¿La empresa ha realizado alguna acción concreta (jornada informativa, capacitación, campaña visual, ajuste institucional, entre otros) para prevenir el acoso o explotación laboral dentro del ambiente de trabajo?</t>
  </si>
  <si>
    <t>En los últimos 12 meses, ¿La empresa ha realizado alguna acción concreta (jornada informativa, capacitación, campaña visual, ajuste institucional, entre otros) para capacitar a quienes conforman el ambiente laboral en la aplicación del enfoque interseccional?</t>
  </si>
  <si>
    <t>Monitoreo y evaluación del impacto real y potencial sobre DDHH</t>
  </si>
  <si>
    <t>¿Existe algún mecanismo de seguimiento a los casos de vulneración de DDHH (p.e. un comité o grupo de trabajadores de la empresa)?</t>
  </si>
  <si>
    <t>¿El mecanismo de seguimiento a los casos de vulneración de derechos humanos sirve para generar acciones correctivas y planear la prevención de estos casos?</t>
  </si>
  <si>
    <t>¿El mecanismo de seguimiento toma en consideración los impactos diferenciales en DDHH que pueden existir sobre los diferentes grupos de interés?</t>
  </si>
  <si>
    <t>¿La empresa involucra a los diferentes grupos de interés para que contribuyan a identificar problemas relacionados con la vulneración de DDHH y a definir las medidas de protección y mitigación?</t>
  </si>
  <si>
    <t>¿Existen capacitaciones al personal de la empresa en temas de DDHH?</t>
  </si>
  <si>
    <t>TOTAL</t>
  </si>
  <si>
    <t>Recomendación general</t>
  </si>
  <si>
    <t>General Herramienta:</t>
  </si>
  <si>
    <t>Categoría</t>
  </si>
  <si>
    <t>Puntaje</t>
  </si>
  <si>
    <t>Escalas</t>
  </si>
  <si>
    <t>Desempeño muy bajo en materia de DDHH</t>
  </si>
  <si>
    <t>Menos de 25%</t>
  </si>
  <si>
    <t>Desempeño bajo en materia de DDHH</t>
  </si>
  <si>
    <t>25% a 50%</t>
  </si>
  <si>
    <t>Buen desempeño en materia de DDHH</t>
  </si>
  <si>
    <t>50% a 75%</t>
  </si>
  <si>
    <t>Desempeño sobresaliente en materia de DDHH</t>
  </si>
  <si>
    <t>75% a 100%</t>
  </si>
  <si>
    <t>Recomendaciones Compromiso Institucional</t>
  </si>
  <si>
    <t>Recomendaciones Grupos de Interés</t>
  </si>
  <si>
    <t>Recomendaciones Prevención y Reparación</t>
  </si>
  <si>
    <t>Recomendaciones Monitoreo y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</si>
</sst>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family val="2"/>
      <scheme val="minor"/>
    </font>
    <font>
      <sz val="11"/>
      <color theme="1"/>
      <name val="Calibri"/>
      <family val="2"/>
      <scheme val="minor"/>
    </font>
    <font>
      <b/>
      <sz val="11"/>
      <color theme="0"/>
      <name val="Calibri"/>
      <family val="2"/>
    </font>
    <font>
      <b/>
      <sz val="11"/>
      <color theme="1"/>
      <name val="Calibri"/>
      <family val="2"/>
    </font>
    <font>
      <sz val="11"/>
      <name val="Calibri"/>
      <family val="2"/>
    </font>
    <font>
      <sz val="11"/>
      <color theme="1"/>
      <name val="Calibri"/>
      <family val="2"/>
    </font>
    <font>
      <sz val="11"/>
      <color theme="0"/>
      <name val="Calibri"/>
      <family val="2"/>
      <scheme val="minor"/>
    </font>
    <font>
      <sz val="14"/>
      <color theme="0"/>
      <name val="Calibri"/>
      <family val="2"/>
      <scheme val="minor"/>
    </font>
    <font>
      <sz val="16"/>
      <color theme="0"/>
      <name val="Calibri"/>
      <family val="2"/>
      <scheme val="minor"/>
    </font>
    <font>
      <b/>
      <sz val="11"/>
      <color theme="1"/>
      <name val="Calibri"/>
      <family val="2"/>
      <scheme val="minor"/>
    </font>
    <font>
      <sz val="11"/>
      <color rgb="FF000000"/>
      <name val="Calibri"/>
      <family val="2"/>
    </font>
    <font>
      <sz val="10"/>
      <color theme="1"/>
      <name val="Helvetica Neue"/>
      <family val="2"/>
    </font>
    <font>
      <b/>
      <sz val="11"/>
      <color theme="0"/>
      <name val="Calibri"/>
      <family val="2"/>
      <scheme val="minor"/>
    </font>
    <font>
      <b/>
      <sz val="11"/>
      <color theme="2" tint="-0.749992370372631"/>
      <name val="Calibri"/>
      <family val="2"/>
      <scheme val="minor"/>
    </font>
    <font>
      <b/>
      <sz val="11"/>
      <color theme="7" tint="-0.249977111117893"/>
      <name val="Calibri"/>
      <family val="2"/>
      <scheme val="minor"/>
    </font>
    <font>
      <b/>
      <sz val="11"/>
      <color rgb="FF7030A0"/>
      <name val="Calibri"/>
      <family val="2"/>
      <scheme val="minor"/>
    </font>
    <font>
      <b/>
      <sz val="11"/>
      <color theme="5" tint="-0.249977111117893"/>
      <name val="Calibri"/>
      <family val="2"/>
      <scheme val="minor"/>
    </font>
    <font>
      <b/>
      <sz val="16"/>
      <color theme="2"/>
      <name val="Calibri"/>
      <family val="2"/>
      <scheme val="minor"/>
    </font>
    <font>
      <b/>
      <sz val="14"/>
      <color theme="1"/>
      <name val="Calibri"/>
      <family val="2"/>
      <scheme val="minor"/>
    </font>
    <font>
      <u/>
      <sz val="11"/>
      <color theme="10"/>
      <name val="Calibri"/>
      <family val="2"/>
      <scheme val="minor"/>
    </font>
    <font>
      <sz val="11"/>
      <color rgb="FF000000"/>
      <name val="Calibri"/>
      <family val="2"/>
      <scheme val="minor"/>
    </font>
    <font>
      <b/>
      <sz val="11"/>
      <color rgb="FF000000"/>
      <name val="Calibri"/>
      <family val="2"/>
      <scheme val="minor"/>
    </font>
    <font>
      <b/>
      <sz val="11"/>
      <color theme="2"/>
      <name val="Calibri"/>
      <family val="2"/>
      <scheme val="minor"/>
    </font>
  </fonts>
  <fills count="30">
    <fill>
      <patternFill patternType="none"/>
    </fill>
    <fill>
      <patternFill patternType="gray125"/>
    </fill>
    <fill>
      <patternFill patternType="solid">
        <fgColor theme="1"/>
        <bgColor theme="1"/>
      </patternFill>
    </fill>
    <fill>
      <patternFill patternType="solid">
        <fgColor rgb="FFE7E6E6"/>
        <bgColor rgb="FFE7E6E6"/>
      </patternFill>
    </fill>
    <fill>
      <patternFill patternType="solid">
        <fgColor theme="1"/>
        <bgColor indexed="64"/>
      </patternFill>
    </fill>
    <fill>
      <patternFill patternType="solid">
        <fgColor rgb="FFBFBFBF"/>
        <bgColor rgb="FFBFBFBF"/>
      </patternFill>
    </fill>
    <fill>
      <patternFill patternType="solid">
        <fgColor theme="0"/>
        <bgColor indexed="64"/>
      </patternFill>
    </fill>
    <fill>
      <patternFill patternType="solid">
        <fgColor theme="2" tint="-9.9978637043366805E-2"/>
        <bgColor indexed="64"/>
      </patternFill>
    </fill>
    <fill>
      <patternFill patternType="solid">
        <fgColor rgb="FFFEF2CB"/>
        <bgColor rgb="FFFEF2CB"/>
      </patternFill>
    </fill>
    <fill>
      <patternFill patternType="solid">
        <fgColor theme="7" tint="0.79998168889431442"/>
        <bgColor indexed="64"/>
      </patternFill>
    </fill>
    <fill>
      <patternFill patternType="solid">
        <fgColor rgb="FFF2F2F2"/>
        <bgColor rgb="FFF2F2F2"/>
      </patternFill>
    </fill>
    <fill>
      <patternFill patternType="solid">
        <fgColor theme="0" tint="-4.9989318521683403E-2"/>
        <bgColor indexed="64"/>
      </patternFill>
    </fill>
    <fill>
      <patternFill patternType="solid">
        <fgColor rgb="FFF4CCCC"/>
        <bgColor rgb="FFF4CCCC"/>
      </patternFill>
    </fill>
    <fill>
      <patternFill patternType="solid">
        <fgColor rgb="FFF4CCCC"/>
        <bgColor indexed="64"/>
      </patternFill>
    </fill>
    <fill>
      <patternFill patternType="solid">
        <fgColor rgb="FF6D9EEB"/>
        <bgColor rgb="FF6D9EEB"/>
      </patternFill>
    </fill>
    <fill>
      <patternFill patternType="solid">
        <fgColor theme="9"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F7C6CD"/>
        <bgColor indexed="64"/>
      </patternFill>
    </fill>
    <fill>
      <patternFill patternType="solid">
        <fgColor theme="1" tint="4.9989318521683403E-2"/>
        <bgColor indexed="64"/>
      </patternFill>
    </fill>
    <fill>
      <patternFill patternType="solid">
        <fgColor theme="2"/>
        <bgColor indexed="64"/>
      </patternFill>
    </fill>
    <fill>
      <patternFill patternType="solid">
        <fgColor theme="5"/>
        <bgColor indexed="64"/>
      </patternFill>
    </fill>
    <fill>
      <patternFill patternType="solid">
        <fgColor rgb="FF946CE6"/>
        <bgColor indexed="64"/>
      </patternFill>
    </fill>
    <fill>
      <patternFill patternType="solid">
        <fgColor rgb="FFDEBCF7"/>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00000"/>
        <bgColor indexed="64"/>
      </patternFill>
    </fill>
    <fill>
      <patternFill patternType="solid">
        <fgColor theme="7" tint="0.39997558519241921"/>
        <bgColor indexed="64"/>
      </patternFill>
    </fill>
  </fills>
  <borders count="27">
    <border>
      <left/>
      <right/>
      <top/>
      <bottom/>
      <diagonal/>
    </border>
    <border>
      <left/>
      <right style="medium">
        <color rgb="FF000000"/>
      </right>
      <top/>
      <bottom style="thin">
        <color rgb="FF000000"/>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style="medium">
        <color rgb="FF000000"/>
      </left>
      <right/>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19" fillId="0" borderId="0" applyNumberFormat="0" applyFill="0" applyBorder="0" applyAlignment="0" applyProtection="0"/>
  </cellStyleXfs>
  <cellXfs count="324">
    <xf numFmtId="0" fontId="0" fillId="0" borderId="0" xfId="0"/>
    <xf numFmtId="0" fontId="9" fillId="0" borderId="3" xfId="0" applyFont="1" applyBorder="1" applyAlignment="1">
      <alignment horizontal="center" vertical="center"/>
    </xf>
    <xf numFmtId="0" fontId="0" fillId="0" borderId="3" xfId="0" applyBorder="1"/>
    <xf numFmtId="0" fontId="5" fillId="0" borderId="3" xfId="0" applyFont="1" applyBorder="1" applyAlignment="1">
      <alignment horizontal="center" vertical="center"/>
    </xf>
    <xf numFmtId="0" fontId="0" fillId="0" borderId="9" xfId="0" applyBorder="1"/>
    <xf numFmtId="0" fontId="0" fillId="0" borderId="13" xfId="0" applyBorder="1"/>
    <xf numFmtId="0" fontId="0" fillId="0" borderId="14" xfId="0" applyBorder="1"/>
    <xf numFmtId="0" fontId="1" fillId="0" borderId="3" xfId="0" applyFont="1" applyBorder="1" applyAlignment="1">
      <alignment horizontal="center" vertical="center"/>
    </xf>
    <xf numFmtId="0" fontId="0" fillId="0" borderId="3" xfId="0"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9" fillId="0" borderId="9" xfId="0" applyFont="1" applyBorder="1" applyAlignment="1">
      <alignment horizontal="center" vertical="center"/>
    </xf>
    <xf numFmtId="0" fontId="0" fillId="0" borderId="10" xfId="0" applyBorder="1"/>
    <xf numFmtId="0" fontId="1" fillId="0" borderId="0" xfId="0" applyFont="1" applyAlignment="1">
      <alignment horizontal="center" vertical="center"/>
    </xf>
    <xf numFmtId="0" fontId="9" fillId="6" borderId="0" xfId="0" applyFont="1" applyFill="1" applyAlignment="1">
      <alignment horizontal="center" vertical="center"/>
    </xf>
    <xf numFmtId="0" fontId="0" fillId="6" borderId="0" xfId="0" applyFill="1"/>
    <xf numFmtId="9" fontId="0" fillId="6" borderId="0" xfId="0" applyNumberFormat="1" applyFill="1" applyAlignment="1">
      <alignment vertical="center"/>
    </xf>
    <xf numFmtId="0" fontId="1" fillId="0" borderId="15" xfId="0" applyFont="1" applyBorder="1" applyAlignment="1">
      <alignment horizontal="center" vertical="center"/>
    </xf>
    <xf numFmtId="0" fontId="0" fillId="0" borderId="0" xfId="0" applyAlignment="1">
      <alignment vertical="center" wrapText="1"/>
    </xf>
    <xf numFmtId="9" fontId="0" fillId="0" borderId="0" xfId="0" applyNumberFormat="1"/>
    <xf numFmtId="0" fontId="11" fillId="0" borderId="0" xfId="0" applyFont="1"/>
    <xf numFmtId="9" fontId="1" fillId="0" borderId="3" xfId="0" applyNumberFormat="1" applyFont="1" applyBorder="1" applyAlignment="1">
      <alignment horizontal="center" vertical="center"/>
    </xf>
    <xf numFmtId="0" fontId="9" fillId="0" borderId="0" xfId="0" applyFont="1" applyAlignment="1">
      <alignment vertical="center"/>
    </xf>
    <xf numFmtId="0" fontId="5" fillId="0" borderId="0" xfId="0" applyFont="1" applyAlignment="1">
      <alignment vertical="center" wrapText="1"/>
    </xf>
    <xf numFmtId="9" fontId="0" fillId="0" borderId="0" xfId="0" applyNumberFormat="1" applyAlignment="1">
      <alignment vertical="center"/>
    </xf>
    <xf numFmtId="0" fontId="4" fillId="0" borderId="12" xfId="0" applyFont="1" applyBorder="1" applyAlignment="1">
      <alignment horizontal="center" vertical="center"/>
    </xf>
    <xf numFmtId="0" fontId="0" fillId="0" borderId="0" xfId="0" applyAlignment="1">
      <alignment wrapText="1"/>
    </xf>
    <xf numFmtId="0" fontId="6" fillId="0" borderId="0" xfId="0" applyFont="1"/>
    <xf numFmtId="9" fontId="6" fillId="0" borderId="0" xfId="0" applyNumberFormat="1" applyFont="1"/>
    <xf numFmtId="0" fontId="19" fillId="0" borderId="0" xfId="1"/>
    <xf numFmtId="0" fontId="22" fillId="6" borderId="0" xfId="0" applyFont="1" applyFill="1" applyAlignment="1">
      <alignment horizontal="center" wrapText="1"/>
    </xf>
    <xf numFmtId="0" fontId="19" fillId="6" borderId="0" xfId="1" applyFill="1" applyBorder="1" applyAlignment="1">
      <alignment horizontal="center" vertical="center"/>
    </xf>
    <xf numFmtId="0" fontId="0" fillId="6" borderId="0" xfId="0" applyFill="1" applyAlignment="1">
      <alignment horizontal="center" vertical="center"/>
    </xf>
    <xf numFmtId="0" fontId="22" fillId="6" borderId="0" xfId="0" applyFont="1" applyFill="1" applyAlignment="1">
      <alignment wrapText="1"/>
    </xf>
    <xf numFmtId="0" fontId="19" fillId="6" borderId="0" xfId="1" applyFill="1" applyAlignment="1">
      <alignment vertical="center" wrapText="1"/>
    </xf>
    <xf numFmtId="0" fontId="22" fillId="6" borderId="0" xfId="0" applyFont="1" applyFill="1" applyAlignment="1">
      <alignment vertical="center" wrapText="1"/>
    </xf>
    <xf numFmtId="0" fontId="0" fillId="6" borderId="0" xfId="0" applyFill="1" applyAlignment="1">
      <alignment vertical="center"/>
    </xf>
    <xf numFmtId="0" fontId="19" fillId="6" borderId="0" xfId="1" applyFill="1" applyAlignment="1">
      <alignment vertical="center"/>
    </xf>
    <xf numFmtId="9" fontId="1" fillId="0" borderId="0" xfId="0" applyNumberFormat="1" applyFont="1" applyAlignment="1">
      <alignment horizontal="center" vertical="center"/>
    </xf>
    <xf numFmtId="0" fontId="6" fillId="6" borderId="0" xfId="0" applyFont="1" applyFill="1" applyAlignment="1">
      <alignment horizontal="center" vertical="center"/>
    </xf>
    <xf numFmtId="0" fontId="17" fillId="28" borderId="15" xfId="0" applyFont="1" applyFill="1" applyBorder="1" applyAlignment="1">
      <alignment horizontal="center" vertical="center"/>
    </xf>
    <xf numFmtId="0" fontId="17" fillId="28" borderId="11" xfId="0" applyFont="1" applyFill="1" applyBorder="1" applyAlignment="1">
      <alignment horizontal="center" vertical="center"/>
    </xf>
    <xf numFmtId="0" fontId="17" fillId="28" borderId="12" xfId="0" applyFont="1" applyFill="1" applyBorder="1" applyAlignment="1">
      <alignment horizontal="center" vertical="center"/>
    </xf>
    <xf numFmtId="0" fontId="17" fillId="28" borderId="16" xfId="0" applyFont="1" applyFill="1" applyBorder="1" applyAlignment="1">
      <alignment horizontal="center" vertical="center"/>
    </xf>
    <xf numFmtId="0" fontId="17" fillId="28" borderId="0" xfId="0" applyFont="1" applyFill="1" applyAlignment="1">
      <alignment horizontal="center" vertical="center"/>
    </xf>
    <xf numFmtId="0" fontId="17" fillId="28" borderId="17" xfId="0" applyFont="1" applyFill="1" applyBorder="1" applyAlignment="1">
      <alignment horizontal="center" vertical="center"/>
    </xf>
    <xf numFmtId="0" fontId="9" fillId="0" borderId="3" xfId="0" applyFont="1" applyBorder="1" applyAlignment="1">
      <alignment horizontal="center" vertical="center" wrapText="1"/>
    </xf>
    <xf numFmtId="0" fontId="9" fillId="0" borderId="8"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8" xfId="0" applyFont="1" applyBorder="1" applyAlignment="1">
      <alignment horizontal="center" vertical="center" wrapText="1"/>
    </xf>
    <xf numFmtId="0" fontId="18" fillId="29" borderId="3" xfId="0" applyFont="1" applyFill="1" applyBorder="1" applyAlignment="1">
      <alignment horizontal="center" vertical="center"/>
    </xf>
    <xf numFmtId="0" fontId="20" fillId="0" borderId="15"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0" xfId="0" applyFont="1" applyAlignment="1">
      <alignment horizontal="center" vertical="center" wrapText="1"/>
    </xf>
    <xf numFmtId="0" fontId="20" fillId="0" borderId="17"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9" xfId="0" applyFont="1" applyBorder="1" applyAlignment="1">
      <alignment horizontal="center" vertical="center" wrapText="1"/>
    </xf>
    <xf numFmtId="0" fontId="0" fillId="23" borderId="15" xfId="0" applyFill="1" applyBorder="1" applyAlignment="1">
      <alignment horizontal="center" vertical="center" wrapText="1"/>
    </xf>
    <xf numFmtId="0" fontId="0" fillId="23" borderId="11" xfId="0" applyFill="1" applyBorder="1" applyAlignment="1">
      <alignment horizontal="center" vertical="center" wrapText="1"/>
    </xf>
    <xf numFmtId="0" fontId="0" fillId="23" borderId="12" xfId="0" applyFill="1" applyBorder="1" applyAlignment="1">
      <alignment horizontal="center" vertical="center" wrapText="1"/>
    </xf>
    <xf numFmtId="0" fontId="0" fillId="23" borderId="14" xfId="0" applyFill="1" applyBorder="1" applyAlignment="1">
      <alignment horizontal="center" vertical="center" wrapText="1"/>
    </xf>
    <xf numFmtId="0" fontId="0" fillId="23" borderId="7" xfId="0" applyFill="1" applyBorder="1" applyAlignment="1">
      <alignment horizontal="center" vertical="center" wrapText="1"/>
    </xf>
    <xf numFmtId="0" fontId="0" fillId="23" borderId="19" xfId="0" applyFill="1" applyBorder="1" applyAlignment="1">
      <alignment horizontal="center" vertical="center" wrapText="1"/>
    </xf>
    <xf numFmtId="0" fontId="0" fillId="16" borderId="15" xfId="0" applyFill="1" applyBorder="1" applyAlignment="1">
      <alignment horizontal="center" vertical="center" wrapText="1"/>
    </xf>
    <xf numFmtId="0" fontId="0" fillId="16" borderId="11" xfId="0" applyFill="1" applyBorder="1" applyAlignment="1">
      <alignment horizontal="center" vertical="center" wrapText="1"/>
    </xf>
    <xf numFmtId="0" fontId="0" fillId="16" borderId="12" xfId="0" applyFill="1" applyBorder="1" applyAlignment="1">
      <alignment horizontal="center" vertical="center" wrapText="1"/>
    </xf>
    <xf numFmtId="0" fontId="0" fillId="16" borderId="14" xfId="0" applyFill="1" applyBorder="1" applyAlignment="1">
      <alignment horizontal="center" vertical="center" wrapText="1"/>
    </xf>
    <xf numFmtId="0" fontId="0" fillId="16" borderId="7" xfId="0" applyFill="1" applyBorder="1" applyAlignment="1">
      <alignment horizontal="center" vertical="center" wrapText="1"/>
    </xf>
    <xf numFmtId="0" fontId="0" fillId="16" borderId="19" xfId="0" applyFill="1"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7" xfId="0" applyBorder="1" applyAlignment="1">
      <alignment horizontal="center" vertical="center" wrapText="1"/>
    </xf>
    <xf numFmtId="0" fontId="0" fillId="0" borderId="19" xfId="0" applyBorder="1" applyAlignment="1">
      <alignment horizontal="center" vertical="center" wrapText="1"/>
    </xf>
    <xf numFmtId="0" fontId="20" fillId="0" borderId="15"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19" xfId="1" applyFont="1" applyBorder="1" applyAlignment="1">
      <alignment horizontal="center" vertical="center" wrapText="1"/>
    </xf>
    <xf numFmtId="0" fontId="0" fillId="0" borderId="15"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14" xfId="0" applyBorder="1" applyAlignment="1">
      <alignment horizontal="center" wrapText="1"/>
    </xf>
    <xf numFmtId="0" fontId="0" fillId="0" borderId="7" xfId="0" applyBorder="1" applyAlignment="1">
      <alignment horizontal="center" wrapText="1"/>
    </xf>
    <xf numFmtId="0" fontId="0" fillId="0" borderId="19" xfId="0" applyBorder="1" applyAlignment="1">
      <alignment horizontal="center" wrapText="1"/>
    </xf>
    <xf numFmtId="0" fontId="9" fillId="26" borderId="3" xfId="0" applyFont="1" applyFill="1" applyBorder="1" applyAlignment="1">
      <alignment horizontal="center" vertical="center" wrapText="1"/>
    </xf>
    <xf numFmtId="0" fontId="9" fillId="27" borderId="16" xfId="0" applyFont="1" applyFill="1" applyBorder="1" applyAlignment="1">
      <alignment horizontal="center" vertical="center" wrapText="1"/>
    </xf>
    <xf numFmtId="0" fontId="9" fillId="27" borderId="0" xfId="0" applyFont="1" applyFill="1" applyAlignment="1">
      <alignment horizontal="center" vertical="center" wrapText="1"/>
    </xf>
    <xf numFmtId="0" fontId="9" fillId="27" borderId="14" xfId="0" applyFont="1" applyFill="1" applyBorder="1" applyAlignment="1">
      <alignment horizontal="center" vertical="center" wrapText="1"/>
    </xf>
    <xf numFmtId="0" fontId="9" fillId="27" borderId="7" xfId="0" applyFont="1" applyFill="1" applyBorder="1" applyAlignment="1">
      <alignment horizontal="center" vertical="center" wrapText="1"/>
    </xf>
    <xf numFmtId="0" fontId="9" fillId="0" borderId="3" xfId="0" applyFont="1" applyBorder="1" applyAlignment="1">
      <alignment horizontal="center" vertical="center"/>
    </xf>
    <xf numFmtId="0" fontId="0" fillId="7" borderId="3" xfId="0" applyFill="1" applyBorder="1" applyAlignment="1">
      <alignment horizontal="center" vertical="center" wrapText="1"/>
    </xf>
    <xf numFmtId="0" fontId="0" fillId="7" borderId="8" xfId="0" applyFill="1"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9" borderId="3" xfId="0" applyFill="1" applyBorder="1" applyAlignment="1">
      <alignment horizontal="center" vertical="center"/>
    </xf>
    <xf numFmtId="0" fontId="20" fillId="0" borderId="3" xfId="1" applyFont="1" applyBorder="1" applyAlignment="1">
      <alignment horizontal="center" vertical="center" wrapText="1"/>
    </xf>
    <xf numFmtId="0" fontId="8" fillId="4" borderId="2" xfId="0" applyFont="1" applyFill="1" applyBorder="1" applyAlignment="1">
      <alignment horizontal="center" vertical="center"/>
    </xf>
    <xf numFmtId="0" fontId="8" fillId="4" borderId="1" xfId="0" applyFont="1" applyFill="1" applyBorder="1" applyAlignment="1">
      <alignment horizontal="center" vertical="center"/>
    </xf>
    <xf numFmtId="0" fontId="3" fillId="7"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13" fillId="0" borderId="3" xfId="0" applyFont="1" applyBorder="1" applyAlignment="1">
      <alignment horizontal="center"/>
    </xf>
    <xf numFmtId="0" fontId="5" fillId="5" borderId="9" xfId="0" applyFont="1" applyFill="1" applyBorder="1" applyAlignment="1">
      <alignment horizontal="center" vertical="center" wrapText="1"/>
    </xf>
    <xf numFmtId="0" fontId="4" fillId="0" borderId="6" xfId="0" applyFont="1" applyBorder="1"/>
    <xf numFmtId="0" fontId="4" fillId="0" borderId="10" xfId="0" applyFont="1" applyBorder="1"/>
    <xf numFmtId="0" fontId="5" fillId="0" borderId="9" xfId="0" applyFont="1" applyBorder="1" applyAlignment="1">
      <alignment horizontal="center" vertical="center"/>
    </xf>
    <xf numFmtId="9" fontId="5" fillId="0" borderId="9" xfId="0" applyNumberFormat="1" applyFont="1" applyBorder="1" applyAlignment="1">
      <alignment horizontal="center" vertical="center"/>
    </xf>
    <xf numFmtId="0" fontId="3" fillId="7" borderId="10" xfId="0" applyFont="1" applyFill="1" applyBorder="1" applyAlignment="1">
      <alignment horizontal="center" vertical="center" wrapText="1"/>
    </xf>
    <xf numFmtId="0" fontId="3" fillId="7" borderId="12" xfId="0" applyFont="1" applyFill="1" applyBorder="1" applyAlignment="1">
      <alignment horizontal="center" vertical="center" wrapText="1"/>
    </xf>
    <xf numFmtId="9" fontId="0" fillId="7" borderId="3" xfId="0" applyNumberFormat="1" applyFill="1" applyBorder="1" applyAlignment="1">
      <alignment horizontal="center" vertical="center"/>
    </xf>
    <xf numFmtId="0" fontId="0" fillId="7" borderId="3" xfId="0" applyFill="1" applyBorder="1" applyAlignment="1">
      <alignment horizontal="center" vertical="center"/>
    </xf>
    <xf numFmtId="0" fontId="2" fillId="2" borderId="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1" fillId="0" borderId="3" xfId="0" applyFont="1" applyBorder="1" applyAlignment="1">
      <alignment horizontal="center" vertical="center"/>
    </xf>
    <xf numFmtId="0" fontId="4" fillId="0" borderId="3" xfId="0" applyFont="1" applyBorder="1"/>
    <xf numFmtId="0" fontId="1" fillId="8" borderId="3" xfId="0" applyFont="1" applyFill="1" applyBorder="1" applyAlignment="1">
      <alignment horizontal="center" vertical="center"/>
    </xf>
    <xf numFmtId="9" fontId="0" fillId="9" borderId="20" xfId="0" applyNumberFormat="1" applyFill="1" applyBorder="1" applyAlignment="1">
      <alignment horizontal="center" vertical="center"/>
    </xf>
    <xf numFmtId="0" fontId="9" fillId="9" borderId="8" xfId="0" applyFont="1" applyFill="1" applyBorder="1" applyAlignment="1">
      <alignment horizontal="center" vertical="center"/>
    </xf>
    <xf numFmtId="0" fontId="9" fillId="9" borderId="18" xfId="0" applyFont="1" applyFill="1" applyBorder="1" applyAlignment="1">
      <alignment horizontal="center" vertical="center"/>
    </xf>
    <xf numFmtId="0" fontId="14" fillId="0" borderId="9" xfId="0" applyFont="1" applyBorder="1" applyAlignment="1">
      <alignment horizontal="center" vertical="center"/>
    </xf>
    <xf numFmtId="0" fontId="14" fillId="0" borderId="6" xfId="0" applyFont="1" applyBorder="1" applyAlignment="1">
      <alignment horizontal="center" vertical="center"/>
    </xf>
    <xf numFmtId="0" fontId="14" fillId="0" borderId="10" xfId="0" applyFont="1" applyBorder="1" applyAlignment="1">
      <alignment horizontal="center" vertical="center"/>
    </xf>
    <xf numFmtId="0" fontId="3" fillId="9" borderId="8"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7" fillId="4" borderId="0" xfId="0" applyFont="1" applyFill="1" applyAlignment="1">
      <alignment horizontal="center" vertical="center"/>
    </xf>
    <xf numFmtId="0" fontId="8" fillId="4" borderId="0" xfId="0" applyFont="1" applyFill="1" applyAlignment="1">
      <alignment horizontal="center" vertical="center"/>
    </xf>
    <xf numFmtId="0" fontId="1" fillId="10" borderId="9" xfId="0" applyFont="1" applyFill="1" applyBorder="1" applyAlignment="1">
      <alignment horizontal="center" vertical="center"/>
    </xf>
    <xf numFmtId="0" fontId="1" fillId="10" borderId="6" xfId="0" applyFont="1" applyFill="1" applyBorder="1" applyAlignment="1">
      <alignment horizontal="center" vertical="center"/>
    </xf>
    <xf numFmtId="0" fontId="1" fillId="10" borderId="10" xfId="0" applyFont="1" applyFill="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center" vertical="center"/>
    </xf>
    <xf numFmtId="9" fontId="1" fillId="0" borderId="9" xfId="0" applyNumberFormat="1" applyFont="1" applyBorder="1" applyAlignment="1">
      <alignment horizontal="center" vertical="center"/>
    </xf>
    <xf numFmtId="0" fontId="10" fillId="23" borderId="3" xfId="0" applyFont="1" applyFill="1" applyBorder="1" applyAlignment="1">
      <alignment horizontal="center" vertical="center" wrapText="1"/>
    </xf>
    <xf numFmtId="0" fontId="3" fillId="23" borderId="8" xfId="0" applyFont="1" applyFill="1" applyBorder="1" applyAlignment="1">
      <alignment horizontal="center" vertical="center" wrapText="1"/>
    </xf>
    <xf numFmtId="0" fontId="3" fillId="23" borderId="13" xfId="0" applyFont="1" applyFill="1" applyBorder="1" applyAlignment="1">
      <alignment horizontal="center" vertical="center" wrapText="1"/>
    </xf>
    <xf numFmtId="0" fontId="9" fillId="23" borderId="8" xfId="0" applyFont="1" applyFill="1" applyBorder="1" applyAlignment="1">
      <alignment horizontal="center" vertical="center"/>
    </xf>
    <xf numFmtId="0" fontId="9" fillId="23" borderId="18" xfId="0" applyFont="1" applyFill="1" applyBorder="1" applyAlignment="1">
      <alignment horizontal="center" vertical="center"/>
    </xf>
    <xf numFmtId="9" fontId="0" fillId="23" borderId="3" xfId="0" applyNumberFormat="1" applyFill="1" applyBorder="1" applyAlignment="1">
      <alignment horizontal="center" vertical="center"/>
    </xf>
    <xf numFmtId="0" fontId="15" fillId="0" borderId="9" xfId="0" applyFont="1" applyBorder="1" applyAlignment="1">
      <alignment horizontal="center" vertical="center"/>
    </xf>
    <xf numFmtId="0" fontId="15" fillId="0" borderId="6" xfId="0" applyFont="1" applyBorder="1" applyAlignment="1">
      <alignment horizontal="center" vertical="center"/>
    </xf>
    <xf numFmtId="0" fontId="15" fillId="0" borderId="10" xfId="0" applyFont="1" applyBorder="1" applyAlignment="1">
      <alignment horizontal="center" vertical="center"/>
    </xf>
    <xf numFmtId="0" fontId="8" fillId="4" borderId="17" xfId="0" applyFont="1" applyFill="1" applyBorder="1" applyAlignment="1">
      <alignment horizontal="center" vertical="center"/>
    </xf>
    <xf numFmtId="0" fontId="3" fillId="24" borderId="8" xfId="0" applyFont="1" applyFill="1" applyBorder="1" applyAlignment="1">
      <alignment horizontal="center" vertical="center" wrapText="1"/>
    </xf>
    <xf numFmtId="0" fontId="3" fillId="24" borderId="13" xfId="0" applyFont="1" applyFill="1" applyBorder="1" applyAlignment="1">
      <alignment horizontal="center" vertical="center" wrapText="1"/>
    </xf>
    <xf numFmtId="9" fontId="1" fillId="0" borderId="3" xfId="0" applyNumberFormat="1" applyFont="1" applyBorder="1" applyAlignment="1">
      <alignment horizontal="center" vertical="center"/>
    </xf>
    <xf numFmtId="9" fontId="0" fillId="24" borderId="3" xfId="0" applyNumberFormat="1" applyFill="1" applyBorder="1" applyAlignment="1">
      <alignment horizontal="center" vertical="center"/>
    </xf>
    <xf numFmtId="0" fontId="10" fillId="6" borderId="0" xfId="0" applyFont="1" applyFill="1" applyAlignment="1">
      <alignment horizontal="center" vertical="center" wrapText="1"/>
    </xf>
    <xf numFmtId="0" fontId="1" fillId="12" borderId="15" xfId="0" applyFont="1" applyFill="1" applyBorder="1" applyAlignment="1">
      <alignment horizontal="center" vertical="center"/>
    </xf>
    <xf numFmtId="0" fontId="4" fillId="0" borderId="11" xfId="0" applyFont="1" applyBorder="1"/>
    <xf numFmtId="0" fontId="4" fillId="0" borderId="14" xfId="0" applyFont="1" applyBorder="1"/>
    <xf numFmtId="0" fontId="4" fillId="0" borderId="7" xfId="0" applyFont="1" applyBorder="1"/>
    <xf numFmtId="0" fontId="1" fillId="0" borderId="16" xfId="0" applyFont="1" applyBorder="1" applyAlignment="1">
      <alignment horizontal="center" vertical="center"/>
    </xf>
    <xf numFmtId="0" fontId="4" fillId="0" borderId="0" xfId="0" applyFont="1"/>
    <xf numFmtId="0" fontId="9" fillId="24" borderId="8" xfId="0" applyFont="1" applyFill="1" applyBorder="1" applyAlignment="1">
      <alignment horizontal="center" vertical="center"/>
    </xf>
    <xf numFmtId="0" fontId="9" fillId="24" borderId="18" xfId="0" applyFont="1" applyFill="1" applyBorder="1" applyAlignment="1">
      <alignment horizontal="center" vertical="center"/>
    </xf>
    <xf numFmtId="0" fontId="16" fillId="0" borderId="15"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5" fillId="24" borderId="3" xfId="0" applyFont="1" applyFill="1" applyBorder="1" applyAlignment="1">
      <alignment vertical="center" wrapText="1"/>
    </xf>
    <xf numFmtId="0" fontId="5" fillId="24" borderId="9" xfId="0" applyFont="1" applyFill="1" applyBorder="1" applyAlignment="1">
      <alignment vertical="center" wrapText="1"/>
    </xf>
    <xf numFmtId="0" fontId="5" fillId="24" borderId="6" xfId="0" applyFont="1" applyFill="1" applyBorder="1" applyAlignment="1">
      <alignment vertical="center" wrapText="1"/>
    </xf>
    <xf numFmtId="0" fontId="5" fillId="24" borderId="10" xfId="0" applyFont="1" applyFill="1" applyBorder="1" applyAlignment="1">
      <alignment vertical="center" wrapText="1"/>
    </xf>
    <xf numFmtId="0" fontId="0" fillId="16" borderId="3" xfId="0" applyFill="1" applyBorder="1" applyAlignment="1">
      <alignment horizontal="center" vertical="center" wrapText="1"/>
    </xf>
    <xf numFmtId="0" fontId="0" fillId="15" borderId="3" xfId="0" applyFill="1" applyBorder="1" applyAlignment="1">
      <alignment horizontal="center" vertical="center" wrapText="1"/>
    </xf>
    <xf numFmtId="0" fontId="0" fillId="18" borderId="3" xfId="0" applyFill="1" applyBorder="1" applyAlignment="1">
      <alignment horizontal="center" vertical="center" wrapText="1"/>
    </xf>
    <xf numFmtId="0" fontId="0" fillId="17" borderId="3" xfId="0" applyFill="1" applyBorder="1" applyAlignment="1">
      <alignment horizontal="center" vertical="center" wrapText="1"/>
    </xf>
    <xf numFmtId="9" fontId="1" fillId="0" borderId="10" xfId="0" applyNumberFormat="1" applyFont="1" applyBorder="1" applyAlignment="1">
      <alignment horizontal="center" vertical="center"/>
    </xf>
    <xf numFmtId="0" fontId="6" fillId="19" borderId="9" xfId="0" applyFont="1" applyFill="1" applyBorder="1" applyAlignment="1">
      <alignment horizontal="center" vertical="center"/>
    </xf>
    <xf numFmtId="0" fontId="6" fillId="19" borderId="6" xfId="0" applyFont="1" applyFill="1" applyBorder="1" applyAlignment="1">
      <alignment horizontal="center" vertical="center"/>
    </xf>
    <xf numFmtId="0" fontId="6" fillId="19" borderId="10" xfId="0" applyFont="1" applyFill="1" applyBorder="1" applyAlignment="1">
      <alignment horizontal="center" vertical="center"/>
    </xf>
    <xf numFmtId="0" fontId="6" fillId="0" borderId="0" xfId="0" applyFont="1"/>
    <xf numFmtId="0" fontId="6" fillId="0" borderId="0" xfId="0" applyFont="1" applyAlignment="1">
      <alignment horizontal="center"/>
    </xf>
    <xf numFmtId="9" fontId="1" fillId="0" borderId="11" xfId="0" applyNumberFormat="1" applyFont="1" applyBorder="1" applyAlignment="1">
      <alignment horizontal="center" vertical="center"/>
    </xf>
    <xf numFmtId="9" fontId="1" fillId="0" borderId="7" xfId="0" applyNumberFormat="1" applyFont="1" applyBorder="1" applyAlignment="1">
      <alignment horizontal="center" vertical="center"/>
    </xf>
    <xf numFmtId="0" fontId="1" fillId="14" borderId="15" xfId="0" applyFont="1" applyFill="1" applyBorder="1" applyAlignment="1">
      <alignment horizontal="center" vertical="center"/>
    </xf>
    <xf numFmtId="0" fontId="1" fillId="14" borderId="11" xfId="0" applyFont="1" applyFill="1" applyBorder="1" applyAlignment="1">
      <alignment horizontal="center" vertical="center"/>
    </xf>
    <xf numFmtId="0" fontId="1" fillId="14" borderId="12" xfId="0" applyFont="1" applyFill="1" applyBorder="1" applyAlignment="1">
      <alignment horizontal="center" vertical="center"/>
    </xf>
    <xf numFmtId="0" fontId="1" fillId="14" borderId="14" xfId="0" applyFont="1" applyFill="1" applyBorder="1" applyAlignment="1">
      <alignment horizontal="center" vertical="center"/>
    </xf>
    <xf numFmtId="0" fontId="1" fillId="14" borderId="7" xfId="0" applyFont="1" applyFill="1" applyBorder="1" applyAlignment="1">
      <alignment horizontal="center" vertical="center"/>
    </xf>
    <xf numFmtId="0" fontId="1" fillId="14" borderId="19" xfId="0" applyFont="1" applyFill="1" applyBorder="1" applyAlignment="1">
      <alignment horizontal="center" vertical="center"/>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1" fillId="11" borderId="10" xfId="0" applyFont="1" applyFill="1" applyBorder="1" applyAlignment="1">
      <alignment horizontal="center" vertical="center" wrapText="1"/>
    </xf>
    <xf numFmtId="0" fontId="1" fillId="13" borderId="9" xfId="0" applyFont="1" applyFill="1" applyBorder="1" applyAlignment="1">
      <alignment horizontal="center" vertical="center" wrapText="1"/>
    </xf>
    <xf numFmtId="0" fontId="1" fillId="13" borderId="10" xfId="0" applyFont="1" applyFill="1" applyBorder="1" applyAlignment="1">
      <alignment horizontal="center" vertical="center" wrapText="1"/>
    </xf>
    <xf numFmtId="0" fontId="12" fillId="4" borderId="0" xfId="0" applyFont="1" applyFill="1" applyAlignment="1">
      <alignment horizontal="center" vertical="center"/>
    </xf>
    <xf numFmtId="0" fontId="9" fillId="25" borderId="0" xfId="0" applyFont="1" applyFill="1" applyAlignment="1">
      <alignment horizontal="left" wrapText="1"/>
    </xf>
    <xf numFmtId="0" fontId="0" fillId="25" borderId="0" xfId="0" applyFill="1" applyAlignment="1">
      <alignment horizontal="left" wrapText="1"/>
    </xf>
    <xf numFmtId="0" fontId="0" fillId="25" borderId="0" xfId="0" applyFill="1" applyAlignment="1">
      <alignment horizontal="left" vertical="top" wrapText="1"/>
    </xf>
    <xf numFmtId="0" fontId="0" fillId="25" borderId="0" xfId="0" applyFill="1" applyAlignment="1">
      <alignment horizontal="left" vertical="center" wrapText="1"/>
    </xf>
    <xf numFmtId="0" fontId="0" fillId="16" borderId="0" xfId="0" applyFill="1" applyAlignment="1">
      <alignment horizontal="left" vertical="center" wrapText="1"/>
    </xf>
    <xf numFmtId="0" fontId="0" fillId="16" borderId="0" xfId="0" applyFill="1" applyAlignment="1">
      <alignment horizontal="left" wrapText="1"/>
    </xf>
    <xf numFmtId="0" fontId="0" fillId="16" borderId="0" xfId="0" applyFill="1" applyAlignment="1">
      <alignment horizontal="left" vertical="top" wrapText="1"/>
    </xf>
    <xf numFmtId="0" fontId="0" fillId="0" borderId="0" xfId="0" applyAlignment="1">
      <alignment horizontal="center"/>
    </xf>
    <xf numFmtId="0" fontId="0" fillId="23" borderId="0" xfId="0" applyFill="1" applyAlignment="1">
      <alignment wrapText="1"/>
    </xf>
    <xf numFmtId="0" fontId="0" fillId="23" borderId="0" xfId="0" applyFill="1" applyAlignment="1">
      <alignment vertical="top" wrapText="1"/>
    </xf>
    <xf numFmtId="0" fontId="0" fillId="9" borderId="0" xfId="0" applyFill="1" applyAlignment="1">
      <alignment horizontal="left" vertical="center" wrapText="1"/>
    </xf>
    <xf numFmtId="0" fontId="0" fillId="9" borderId="0" xfId="0" applyFill="1" applyAlignment="1">
      <alignment wrapText="1"/>
    </xf>
    <xf numFmtId="0" fontId="0" fillId="9" borderId="0" xfId="0" applyFill="1" applyAlignment="1">
      <alignment vertical="center" wrapText="1"/>
    </xf>
    <xf numFmtId="0" fontId="0" fillId="21" borderId="0" xfId="0" applyFill="1" applyAlignment="1">
      <alignment horizontal="center" vertical="center" wrapText="1"/>
    </xf>
    <xf numFmtId="0" fontId="0" fillId="20" borderId="0" xfId="0" applyFill="1" applyAlignment="1">
      <alignment vertical="top" wrapText="1"/>
    </xf>
    <xf numFmtId="0" fontId="0" fillId="20" borderId="0" xfId="0" applyFill="1" applyAlignment="1">
      <alignment wrapText="1"/>
    </xf>
    <xf numFmtId="0" fontId="0" fillId="7" borderId="0" xfId="0" applyFill="1" applyAlignment="1">
      <alignment horizontal="center" vertical="center" wrapText="1"/>
    </xf>
    <xf numFmtId="0" fontId="0" fillId="17" borderId="0" xfId="0" applyFill="1" applyAlignment="1">
      <alignment horizontal="center" vertical="center" wrapText="1"/>
    </xf>
    <xf numFmtId="0" fontId="0" fillId="22" borderId="0" xfId="0" applyFill="1" applyAlignment="1">
      <alignment horizontal="center" vertical="center" wrapText="1"/>
    </xf>
    <xf numFmtId="0" fontId="0" fillId="9" borderId="0" xfId="0" applyFill="1" applyAlignment="1">
      <alignment vertical="top" wrapText="1"/>
    </xf>
    <xf numFmtId="0" fontId="0" fillId="23" borderId="0" xfId="0" applyFill="1" applyAlignment="1">
      <alignment horizontal="left" vertical="center" wrapText="1"/>
    </xf>
    <xf numFmtId="0" fontId="0" fillId="23" borderId="0" xfId="0" applyFill="1" applyAlignment="1">
      <alignment vertical="center" wrapText="1"/>
    </xf>
    <xf numFmtId="0" fontId="0" fillId="20" borderId="21" xfId="0" applyFill="1" applyBorder="1" applyAlignment="1">
      <alignment wrapText="1"/>
    </xf>
    <xf numFmtId="0" fontId="0" fillId="20" borderId="22" xfId="0" applyFill="1" applyBorder="1" applyAlignment="1">
      <alignment wrapText="1"/>
    </xf>
    <xf numFmtId="0" fontId="0" fillId="20" borderId="4" xfId="0" applyFill="1" applyBorder="1" applyAlignment="1">
      <alignment vertical="center" wrapText="1"/>
    </xf>
    <xf numFmtId="0" fontId="0" fillId="20" borderId="0" xfId="0" applyFill="1" applyAlignment="1">
      <alignment vertical="center" wrapText="1"/>
    </xf>
    <xf numFmtId="0" fontId="0" fillId="20" borderId="23" xfId="0" applyFill="1" applyBorder="1" applyAlignment="1">
      <alignment wrapText="1"/>
    </xf>
    <xf numFmtId="0" fontId="0" fillId="9" borderId="4" xfId="0" applyFill="1" applyBorder="1" applyAlignment="1">
      <alignment horizontal="left" vertical="top" wrapText="1"/>
    </xf>
    <xf numFmtId="0" fontId="0" fillId="9" borderId="0" xfId="0" applyFill="1" applyAlignment="1">
      <alignment horizontal="left" vertical="top" wrapText="1"/>
    </xf>
    <xf numFmtId="0" fontId="0" fillId="23" borderId="4" xfId="0" applyFill="1" applyBorder="1" applyAlignment="1">
      <alignment vertical="top" wrapText="1"/>
    </xf>
    <xf numFmtId="0" fontId="0" fillId="20" borderId="4" xfId="0" applyFill="1" applyBorder="1" applyAlignment="1">
      <alignment vertical="top" wrapText="1"/>
    </xf>
    <xf numFmtId="0" fontId="0" fillId="9" borderId="21" xfId="0" applyFill="1" applyBorder="1" applyAlignment="1">
      <alignment wrapText="1"/>
    </xf>
    <xf numFmtId="0" fontId="0" fillId="9" borderId="22" xfId="0" applyFill="1" applyBorder="1" applyAlignment="1">
      <alignment wrapText="1"/>
    </xf>
    <xf numFmtId="0" fontId="0" fillId="23" borderId="24" xfId="0" applyFill="1" applyBorder="1" applyAlignment="1">
      <alignment vertical="center" wrapText="1"/>
    </xf>
    <xf numFmtId="0" fontId="0" fillId="23" borderId="25" xfId="0" applyFill="1" applyBorder="1" applyAlignment="1">
      <alignment vertical="center" wrapText="1"/>
    </xf>
    <xf numFmtId="0" fontId="0" fillId="16" borderId="4" xfId="0" applyFill="1" applyBorder="1" applyAlignment="1">
      <alignment wrapText="1"/>
    </xf>
    <xf numFmtId="0" fontId="0" fillId="16" borderId="0" xfId="0" applyFill="1" applyAlignment="1">
      <alignment wrapText="1"/>
    </xf>
    <xf numFmtId="0" fontId="0" fillId="16" borderId="2" xfId="0" applyFill="1" applyBorder="1" applyAlignment="1">
      <alignment wrapText="1"/>
    </xf>
    <xf numFmtId="0" fontId="0" fillId="23" borderId="21" xfId="0" applyFill="1" applyBorder="1" applyAlignment="1">
      <alignment wrapText="1"/>
    </xf>
    <xf numFmtId="0" fontId="0" fillId="23" borderId="22" xfId="0" applyFill="1" applyBorder="1" applyAlignment="1">
      <alignment wrapText="1"/>
    </xf>
    <xf numFmtId="0" fontId="0" fillId="16" borderId="4" xfId="0" applyFill="1" applyBorder="1" applyAlignment="1">
      <alignment vertical="top" wrapText="1"/>
    </xf>
    <xf numFmtId="0" fontId="0" fillId="16" borderId="0" xfId="0" applyFill="1" applyAlignment="1">
      <alignment vertical="top" wrapText="1"/>
    </xf>
    <xf numFmtId="0" fontId="0" fillId="16" borderId="2" xfId="0" applyFill="1" applyBorder="1" applyAlignment="1">
      <alignment vertical="top" wrapText="1"/>
    </xf>
    <xf numFmtId="0" fontId="0" fillId="23" borderId="4" xfId="0" applyFill="1" applyBorder="1" applyAlignment="1">
      <alignment vertical="center" wrapText="1"/>
    </xf>
    <xf numFmtId="0" fontId="0" fillId="16" borderId="21" xfId="0" applyFill="1" applyBorder="1" applyAlignment="1">
      <alignment wrapText="1"/>
    </xf>
    <xf numFmtId="0" fontId="0" fillId="16" borderId="22" xfId="0" applyFill="1" applyBorder="1" applyAlignment="1">
      <alignment wrapText="1"/>
    </xf>
    <xf numFmtId="0" fontId="0" fillId="16" borderId="23" xfId="0" applyFill="1" applyBorder="1" applyAlignment="1">
      <alignment wrapText="1"/>
    </xf>
    <xf numFmtId="0" fontId="0" fillId="9" borderId="21" xfId="0" applyFill="1" applyBorder="1" applyAlignment="1">
      <alignment horizontal="left" vertical="top" wrapText="1"/>
    </xf>
    <xf numFmtId="0" fontId="0" fillId="9" borderId="22" xfId="0" applyFill="1" applyBorder="1" applyAlignment="1">
      <alignment horizontal="left" vertical="top" wrapText="1"/>
    </xf>
    <xf numFmtId="0" fontId="0" fillId="23" borderId="21" xfId="0" applyFill="1" applyBorder="1" applyAlignment="1">
      <alignment horizontal="left" vertical="center" wrapText="1"/>
    </xf>
    <xf numFmtId="0" fontId="0" fillId="23" borderId="22" xfId="0" applyFill="1" applyBorder="1" applyAlignment="1">
      <alignment horizontal="left" vertical="center" wrapText="1"/>
    </xf>
    <xf numFmtId="0" fontId="0" fillId="16" borderId="21" xfId="0" applyFill="1" applyBorder="1" applyAlignment="1">
      <alignment vertical="top" wrapText="1"/>
    </xf>
    <xf numFmtId="0" fontId="0" fillId="16" borderId="22" xfId="0" applyFill="1" applyBorder="1" applyAlignment="1">
      <alignment vertical="top" wrapText="1"/>
    </xf>
    <xf numFmtId="0" fontId="0" fillId="16" borderId="23" xfId="0" applyFill="1" applyBorder="1" applyAlignment="1">
      <alignment vertical="top" wrapText="1"/>
    </xf>
    <xf numFmtId="0" fontId="0" fillId="20" borderId="2" xfId="0" applyFill="1" applyBorder="1" applyAlignment="1">
      <alignment vertical="top" wrapText="1"/>
    </xf>
    <xf numFmtId="0" fontId="0" fillId="20" borderId="4" xfId="0" applyFill="1" applyBorder="1" applyAlignment="1">
      <alignment horizontal="left" wrapText="1"/>
    </xf>
    <xf numFmtId="0" fontId="0" fillId="20" borderId="0" xfId="0" applyFill="1" applyAlignment="1">
      <alignment horizontal="left" wrapText="1"/>
    </xf>
    <xf numFmtId="0" fontId="0" fillId="20" borderId="2" xfId="0" applyFill="1" applyBorder="1" applyAlignment="1">
      <alignment horizontal="left" wrapText="1"/>
    </xf>
    <xf numFmtId="0" fontId="0" fillId="16" borderId="4" xfId="0" applyFill="1" applyBorder="1" applyAlignment="1">
      <alignment horizontal="left" vertical="top" wrapText="1"/>
    </xf>
    <xf numFmtId="0" fontId="0" fillId="16" borderId="2" xfId="0" applyFill="1" applyBorder="1" applyAlignment="1">
      <alignment horizontal="left" vertical="top" wrapText="1"/>
    </xf>
    <xf numFmtId="0" fontId="0" fillId="9" borderId="4" xfId="0" applyFill="1" applyBorder="1" applyAlignment="1">
      <alignment horizontal="left" vertical="center" wrapText="1"/>
    </xf>
    <xf numFmtId="0" fontId="0" fillId="9" borderId="2" xfId="0" applyFill="1" applyBorder="1" applyAlignment="1">
      <alignment horizontal="left" vertical="center" wrapText="1"/>
    </xf>
    <xf numFmtId="0" fontId="0" fillId="9" borderId="24" xfId="0" applyFill="1" applyBorder="1" applyAlignment="1">
      <alignment vertical="center" wrapText="1"/>
    </xf>
    <xf numFmtId="0" fontId="0" fillId="9" borderId="25" xfId="0" applyFill="1" applyBorder="1" applyAlignment="1">
      <alignment vertical="center" wrapText="1"/>
    </xf>
    <xf numFmtId="0" fontId="0" fillId="9" borderId="4" xfId="0" applyFill="1" applyBorder="1" applyAlignment="1">
      <alignment wrapText="1"/>
    </xf>
    <xf numFmtId="0" fontId="0" fillId="20" borderId="21" xfId="0" applyFill="1" applyBorder="1" applyAlignment="1">
      <alignment vertical="center" wrapText="1"/>
    </xf>
    <xf numFmtId="0" fontId="0" fillId="20" borderId="22" xfId="0" applyFill="1" applyBorder="1" applyAlignment="1">
      <alignment vertical="center" wrapText="1"/>
    </xf>
    <xf numFmtId="0" fontId="0" fillId="20" borderId="23" xfId="0" applyFill="1" applyBorder="1" applyAlignment="1">
      <alignment vertical="center" wrapText="1"/>
    </xf>
    <xf numFmtId="0" fontId="0" fillId="20" borderId="24" xfId="0" applyFill="1" applyBorder="1" applyAlignment="1">
      <alignment vertical="top" wrapText="1"/>
    </xf>
    <xf numFmtId="0" fontId="0" fillId="20" borderId="25" xfId="0" applyFill="1" applyBorder="1" applyAlignment="1">
      <alignment vertical="top" wrapText="1"/>
    </xf>
    <xf numFmtId="0" fontId="0" fillId="20" borderId="26" xfId="0" applyFill="1" applyBorder="1" applyAlignment="1">
      <alignment vertical="top" wrapText="1"/>
    </xf>
    <xf numFmtId="0" fontId="0" fillId="20" borderId="4" xfId="0" applyFill="1" applyBorder="1" applyAlignment="1">
      <alignment wrapText="1"/>
    </xf>
    <xf numFmtId="0" fontId="0" fillId="20" borderId="2" xfId="0" applyFill="1" applyBorder="1" applyAlignment="1">
      <alignment wrapText="1"/>
    </xf>
    <xf numFmtId="0" fontId="0" fillId="9" borderId="24" xfId="0" applyFill="1" applyBorder="1" applyAlignment="1">
      <alignment vertical="top" wrapText="1"/>
    </xf>
    <xf numFmtId="0" fontId="0" fillId="9" borderId="25" xfId="0" applyFill="1" applyBorder="1" applyAlignment="1">
      <alignment vertical="top" wrapText="1"/>
    </xf>
    <xf numFmtId="0" fontId="0" fillId="9" borderId="4" xfId="0" applyFill="1" applyBorder="1" applyAlignment="1">
      <alignment vertical="top" wrapText="1"/>
    </xf>
    <xf numFmtId="0" fontId="0" fillId="9" borderId="4" xfId="0" applyFill="1" applyBorder="1" applyAlignment="1">
      <alignment horizontal="left" wrapText="1"/>
    </xf>
    <xf numFmtId="0" fontId="0" fillId="9" borderId="0" xfId="0" applyFill="1" applyAlignment="1">
      <alignment horizontal="left" wrapText="1"/>
    </xf>
    <xf numFmtId="0" fontId="0" fillId="20" borderId="4" xfId="0" applyFill="1" applyBorder="1" applyAlignment="1">
      <alignment horizontal="left" vertical="center" wrapText="1"/>
    </xf>
    <xf numFmtId="0" fontId="0" fillId="20" borderId="0" xfId="0" applyFill="1" applyAlignment="1">
      <alignment horizontal="left" vertical="center" wrapText="1"/>
    </xf>
    <xf numFmtId="0" fontId="0" fillId="20" borderId="2" xfId="0" applyFill="1" applyBorder="1" applyAlignment="1">
      <alignment horizontal="left" vertical="center" wrapText="1"/>
    </xf>
    <xf numFmtId="0" fontId="0" fillId="20" borderId="24" xfId="0" applyFill="1" applyBorder="1" applyAlignment="1">
      <alignment vertical="center" wrapText="1"/>
    </xf>
    <xf numFmtId="0" fontId="0" fillId="20" borderId="25" xfId="0" applyFill="1" applyBorder="1" applyAlignment="1">
      <alignment vertical="center" wrapText="1"/>
    </xf>
    <xf numFmtId="0" fontId="0" fillId="20" borderId="26" xfId="0" applyFill="1" applyBorder="1" applyAlignment="1">
      <alignment vertical="center" wrapText="1"/>
    </xf>
    <xf numFmtId="0" fontId="0" fillId="20" borderId="2" xfId="0" applyFill="1" applyBorder="1" applyAlignment="1">
      <alignment vertical="center" wrapText="1"/>
    </xf>
    <xf numFmtId="0" fontId="0" fillId="23" borderId="24" xfId="0" applyFill="1" applyBorder="1" applyAlignment="1">
      <alignment vertical="top" wrapText="1"/>
    </xf>
    <xf numFmtId="0" fontId="0" fillId="23" borderId="25" xfId="0" applyFill="1" applyBorder="1" applyAlignment="1">
      <alignment vertical="top" wrapText="1"/>
    </xf>
    <xf numFmtId="0" fontId="0" fillId="23" borderId="26" xfId="0" applyFill="1" applyBorder="1" applyAlignment="1">
      <alignment vertical="top" wrapText="1"/>
    </xf>
    <xf numFmtId="0" fontId="0" fillId="23" borderId="4" xfId="0" applyFill="1" applyBorder="1" applyAlignment="1">
      <alignment wrapText="1"/>
    </xf>
    <xf numFmtId="0" fontId="0" fillId="23" borderId="2" xfId="0" applyFill="1" applyBorder="1" applyAlignment="1">
      <alignment wrapText="1"/>
    </xf>
    <xf numFmtId="0" fontId="0" fillId="23" borderId="2" xfId="0" applyFill="1" applyBorder="1" applyAlignment="1">
      <alignment vertical="top" wrapText="1"/>
    </xf>
    <xf numFmtId="0" fontId="0" fillId="23" borderId="23" xfId="0" applyFill="1" applyBorder="1" applyAlignment="1">
      <alignment wrapText="1"/>
    </xf>
    <xf numFmtId="0" fontId="0" fillId="23" borderId="2" xfId="0" applyFill="1" applyBorder="1" applyAlignment="1">
      <alignment vertical="center" wrapText="1"/>
    </xf>
    <xf numFmtId="0" fontId="0" fillId="9" borderId="4" xfId="0" applyFill="1" applyBorder="1" applyAlignment="1">
      <alignment vertical="center" wrapText="1"/>
    </xf>
    <xf numFmtId="0" fontId="0" fillId="16" borderId="24" xfId="0" applyFill="1" applyBorder="1" applyAlignment="1">
      <alignment vertical="top" wrapText="1"/>
    </xf>
    <xf numFmtId="0" fontId="0" fillId="16" borderId="25" xfId="0" applyFill="1" applyBorder="1" applyAlignment="1">
      <alignment vertical="top" wrapText="1"/>
    </xf>
    <xf numFmtId="0" fontId="0" fillId="16" borderId="26" xfId="0" applyFill="1" applyBorder="1" applyAlignment="1">
      <alignment vertical="top" wrapText="1"/>
    </xf>
    <xf numFmtId="0" fontId="0" fillId="16" borderId="4" xfId="0" applyFill="1" applyBorder="1" applyAlignment="1">
      <alignment vertical="center" wrapText="1"/>
    </xf>
    <xf numFmtId="0" fontId="0" fillId="16" borderId="0" xfId="0" applyFill="1" applyAlignment="1">
      <alignment vertical="center" wrapText="1"/>
    </xf>
    <xf numFmtId="0" fontId="0" fillId="16" borderId="2" xfId="0" applyFill="1" applyBorder="1" applyAlignment="1">
      <alignment vertical="center" wrapText="1"/>
    </xf>
    <xf numFmtId="0" fontId="0" fillId="16" borderId="21" xfId="0" applyFill="1" applyBorder="1" applyAlignment="1">
      <alignment horizontal="left" wrapText="1"/>
    </xf>
    <xf numFmtId="0" fontId="0" fillId="16" borderId="22" xfId="0" applyFill="1" applyBorder="1" applyAlignment="1">
      <alignment horizontal="left" wrapText="1"/>
    </xf>
    <xf numFmtId="0" fontId="0" fillId="16" borderId="23" xfId="0" applyFill="1" applyBorder="1" applyAlignment="1">
      <alignment horizontal="left" wrapText="1"/>
    </xf>
    <xf numFmtId="0" fontId="0" fillId="16" borderId="4" xfId="0" applyFill="1" applyBorder="1" applyAlignment="1">
      <alignment horizontal="left" wrapText="1"/>
    </xf>
    <xf numFmtId="0" fontId="0" fillId="16" borderId="2" xfId="0" applyFill="1" applyBorder="1" applyAlignment="1">
      <alignment horizontal="left" wrapText="1"/>
    </xf>
    <xf numFmtId="0" fontId="0" fillId="20" borderId="4" xfId="0" applyFill="1" applyBorder="1" applyAlignment="1">
      <alignment horizontal="left" vertical="top" wrapText="1"/>
    </xf>
    <xf numFmtId="0" fontId="0" fillId="20" borderId="0" xfId="0" applyFill="1" applyAlignment="1">
      <alignment horizontal="left" vertical="top" wrapText="1"/>
    </xf>
    <xf numFmtId="0" fontId="0" fillId="20" borderId="24" xfId="0" applyFill="1" applyBorder="1" applyAlignment="1">
      <alignment horizontal="left" vertical="top" wrapText="1"/>
    </xf>
    <xf numFmtId="0" fontId="0" fillId="20" borderId="25" xfId="0" applyFill="1" applyBorder="1" applyAlignment="1">
      <alignment horizontal="left" vertical="top" wrapText="1"/>
    </xf>
    <xf numFmtId="0" fontId="0" fillId="9" borderId="2" xfId="0" applyFill="1" applyBorder="1" applyAlignment="1">
      <alignment horizontal="left" wrapText="1"/>
    </xf>
    <xf numFmtId="0" fontId="0" fillId="20" borderId="2" xfId="0" applyFill="1" applyBorder="1" applyAlignment="1">
      <alignment horizontal="left" vertical="top" wrapText="1"/>
    </xf>
    <xf numFmtId="0" fontId="0" fillId="20" borderId="26" xfId="0" applyFill="1" applyBorder="1" applyAlignment="1">
      <alignment horizontal="left" vertical="top" wrapText="1"/>
    </xf>
    <xf numFmtId="0" fontId="0" fillId="9" borderId="25" xfId="0" applyFill="1" applyBorder="1" applyAlignment="1">
      <alignment horizontal="left" vertical="top" wrapText="1"/>
    </xf>
    <xf numFmtId="0" fontId="0" fillId="23" borderId="4" xfId="0" applyFill="1" applyBorder="1" applyAlignment="1">
      <alignment horizontal="left" wrapText="1"/>
    </xf>
    <xf numFmtId="0" fontId="0" fillId="23" borderId="0" xfId="0" applyFill="1" applyAlignment="1">
      <alignment horizontal="left" wrapText="1"/>
    </xf>
    <xf numFmtId="0" fontId="0" fillId="23" borderId="2" xfId="0" applyFill="1" applyBorder="1" applyAlignment="1">
      <alignment horizontal="left" wrapText="1"/>
    </xf>
    <xf numFmtId="0" fontId="0" fillId="23" borderId="0" xfId="0" applyFill="1" applyAlignment="1">
      <alignment horizontal="center" vertical="top" wrapText="1"/>
    </xf>
    <xf numFmtId="0" fontId="0" fillId="23" borderId="2" xfId="0" applyFill="1" applyBorder="1" applyAlignment="1">
      <alignment horizontal="center" vertical="top" wrapText="1"/>
    </xf>
    <xf numFmtId="0" fontId="0" fillId="23" borderId="21" xfId="0" applyFill="1" applyBorder="1" applyAlignment="1">
      <alignment horizontal="left" wrapText="1"/>
    </xf>
    <xf numFmtId="0" fontId="0" fillId="23" borderId="22" xfId="0" applyFill="1" applyBorder="1" applyAlignment="1">
      <alignment horizontal="left" wrapText="1"/>
    </xf>
    <xf numFmtId="0" fontId="0" fillId="23" borderId="23" xfId="0" applyFill="1" applyBorder="1" applyAlignment="1">
      <alignment horizontal="left" wrapText="1"/>
    </xf>
    <xf numFmtId="0" fontId="0" fillId="9" borderId="23" xfId="0" applyFill="1" applyBorder="1" applyAlignment="1">
      <alignment wrapText="1"/>
    </xf>
    <xf numFmtId="0" fontId="0" fillId="9" borderId="2" xfId="0" applyFill="1" applyBorder="1" applyAlignment="1">
      <alignment vertical="top" wrapText="1"/>
    </xf>
    <xf numFmtId="0" fontId="0" fillId="9" borderId="2" xfId="0" applyFill="1" applyBorder="1" applyAlignment="1">
      <alignment wrapText="1"/>
    </xf>
  </cellXfs>
  <cellStyles count="2">
    <cellStyle name="Hipervínculo" xfId="1" builtinId="8"/>
    <cellStyle name="Normal" xfId="0" builtinId="0"/>
  </cellStyles>
  <dxfs count="8">
    <dxf>
      <font>
        <color rgb="FF9C0006"/>
      </font>
      <fill>
        <patternFill patternType="solid">
          <bgColor theme="5" tint="0.399975585192419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patternType="solid">
          <bgColor theme="5" tint="0.39997558519241921"/>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4CCCC"/>
      <color rgb="FFDEBCF7"/>
      <color rgb="FF946CE6"/>
      <color rgb="FFC2C2C2"/>
      <color rgb="FFF7C6CD"/>
      <color rgb="FF5AA2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filled"/>
        <c:varyColors val="0"/>
        <c:ser>
          <c:idx val="0"/>
          <c:order val="0"/>
          <c:tx>
            <c:strRef>
              <c:f>Resultados!$D$10</c:f>
              <c:strCache>
                <c:ptCount val="1"/>
              </c:strCache>
            </c:strRef>
          </c:tx>
          <c:spPr>
            <a:solidFill>
              <a:srgbClr val="A9D08E"/>
            </a:solidFill>
            <a:ln>
              <a:solidFill>
                <a:srgbClr val="A9D08E"/>
              </a:solidFill>
              <a:prstDash val="solid"/>
            </a:ln>
            <a:effectLst/>
          </c:spPr>
          <c:cat>
            <c:strRef>
              <c:f>Resultados!$C$11:$C$14</c:f>
              <c:strCache>
                <c:ptCount val="4"/>
                <c:pt idx="0">
                  <c:v>Compromiso político institucional</c:v>
                </c:pt>
                <c:pt idx="1">
                  <c:v>Grupos de interés</c:v>
                </c:pt>
                <c:pt idx="2">
                  <c:v>Acciones de prevención y reparación</c:v>
                </c:pt>
                <c:pt idx="3">
                  <c:v>Monitoreo y evaluación</c:v>
                </c:pt>
              </c:strCache>
            </c:strRef>
          </c:cat>
          <c:val>
            <c:numRef>
              <c:f>Resultados!$D$11:$D$14</c:f>
              <c:numCache>
                <c:formatCode>General</c:formatCode>
                <c:ptCount val="4"/>
              </c:numCache>
            </c:numRef>
          </c:val>
          <c:extLst>
            <c:ext xmlns:c16="http://schemas.microsoft.com/office/drawing/2014/chart" uri="{C3380CC4-5D6E-409C-BE32-E72D297353CC}">
              <c16:uniqueId val="{00000001-8B68-4DCF-BD92-A4811B13150C}"/>
            </c:ext>
          </c:extLst>
        </c:ser>
        <c:ser>
          <c:idx val="1"/>
          <c:order val="1"/>
          <c:tx>
            <c:strRef>
              <c:f>Resultados!$E$10</c:f>
              <c:strCache>
                <c:ptCount val="1"/>
                <c:pt idx="0">
                  <c:v>Puntaje</c:v>
                </c:pt>
              </c:strCache>
            </c:strRef>
          </c:tx>
          <c:spPr>
            <a:solidFill>
              <a:srgbClr val="70AD47"/>
            </a:solidFill>
            <a:ln>
              <a:noFill/>
            </a:ln>
            <a:effectLst/>
          </c:spPr>
          <c:cat>
            <c:strRef>
              <c:f>Resultados!$C$11:$C$14</c:f>
              <c:strCache>
                <c:ptCount val="4"/>
                <c:pt idx="0">
                  <c:v>Compromiso político institucional</c:v>
                </c:pt>
                <c:pt idx="1">
                  <c:v>Grupos de interés</c:v>
                </c:pt>
                <c:pt idx="2">
                  <c:v>Acciones de prevención y reparación</c:v>
                </c:pt>
                <c:pt idx="3">
                  <c:v>Monitoreo y evaluación</c:v>
                </c:pt>
              </c:strCache>
            </c:strRef>
          </c:cat>
          <c:val>
            <c:numRef>
              <c:f>Resultados!$E$11:$E$14</c:f>
              <c:numCache>
                <c:formatCode>0%</c:formatCode>
                <c:ptCount val="4"/>
                <c:pt idx="0">
                  <c:v>0</c:v>
                </c:pt>
                <c:pt idx="1">
                  <c:v>0</c:v>
                </c:pt>
                <c:pt idx="2">
                  <c:v>0</c:v>
                </c:pt>
                <c:pt idx="3">
                  <c:v>0</c:v>
                </c:pt>
              </c:numCache>
            </c:numRef>
          </c:val>
          <c:extLst>
            <c:ext xmlns:c16="http://schemas.microsoft.com/office/drawing/2014/chart" uri="{C3380CC4-5D6E-409C-BE32-E72D297353CC}">
              <c16:uniqueId val="{00000003-8B68-4DCF-BD92-A4811B13150C}"/>
            </c:ext>
          </c:extLst>
        </c:ser>
        <c:dLbls>
          <c:showLegendKey val="0"/>
          <c:showVal val="0"/>
          <c:showCatName val="0"/>
          <c:showSerName val="0"/>
          <c:showPercent val="0"/>
          <c:showBubbleSize val="0"/>
        </c:dLbls>
        <c:axId val="756682759"/>
        <c:axId val="756685831"/>
      </c:radarChart>
      <c:catAx>
        <c:axId val="756682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756685831"/>
        <c:crosses val="autoZero"/>
        <c:auto val="1"/>
        <c:lblAlgn val="ctr"/>
        <c:lblOffset val="100"/>
        <c:noMultiLvlLbl val="0"/>
      </c:catAx>
      <c:valAx>
        <c:axId val="75668583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566827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76200</xdr:colOff>
      <xdr:row>7</xdr:row>
      <xdr:rowOff>76200</xdr:rowOff>
    </xdr:from>
    <xdr:to>
      <xdr:col>7</xdr:col>
      <xdr:colOff>561975</xdr:colOff>
      <xdr:row>16</xdr:row>
      <xdr:rowOff>180975</xdr:rowOff>
    </xdr:to>
    <xdr:graphicFrame macro="">
      <xdr:nvGraphicFramePr>
        <xdr:cNvPr id="4" name="Gráfico 3">
          <a:extLst>
            <a:ext uri="{FF2B5EF4-FFF2-40B4-BE49-F238E27FC236}">
              <a16:creationId xmlns:a16="http://schemas.microsoft.com/office/drawing/2014/main" id="{6CAC2089-E42D-7DF0-7131-8BBAA765A1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CCCC"/>
  </sheetPr>
  <dimension ref="A1:Y22"/>
  <sheetViews>
    <sheetView tabSelected="1" workbookViewId="0">
      <selection activeCell="D3" sqref="D3:L6"/>
    </sheetView>
  </sheetViews>
  <sheetFormatPr baseColWidth="10" defaultColWidth="8.7109375" defaultRowHeight="15"/>
  <cols>
    <col min="1" max="1" width="5.140625" customWidth="1"/>
    <col min="2" max="2" width="4.140625" customWidth="1"/>
    <col min="3" max="3" width="7.42578125" customWidth="1"/>
    <col min="4" max="4" width="5.42578125" customWidth="1"/>
    <col min="5" max="5" width="4.42578125" customWidth="1"/>
    <col min="6" max="6" width="5" customWidth="1"/>
    <col min="7" max="7" width="7.28515625" customWidth="1"/>
    <col min="8" max="8" width="5.140625" customWidth="1"/>
    <col min="9" max="9" width="12.28515625" customWidth="1"/>
    <col min="14" max="14" width="6.28515625" customWidth="1"/>
    <col min="15" max="15" width="8" customWidth="1"/>
    <col min="16" max="16" width="5.42578125" customWidth="1"/>
    <col min="20" max="20" width="7.85546875" customWidth="1"/>
    <col min="23" max="23" width="4.7109375" customWidth="1"/>
  </cols>
  <sheetData>
    <row r="1" spans="1:25" ht="21" customHeight="1">
      <c r="A1" s="41" t="s">
        <v>0</v>
      </c>
      <c r="B1" s="42"/>
      <c r="C1" s="42"/>
      <c r="D1" s="42"/>
      <c r="E1" s="42"/>
      <c r="F1" s="42"/>
      <c r="G1" s="42"/>
      <c r="H1" s="42"/>
      <c r="I1" s="42"/>
      <c r="J1" s="42"/>
      <c r="K1" s="42"/>
      <c r="L1" s="43"/>
      <c r="N1" s="51" t="s">
        <v>1</v>
      </c>
      <c r="O1" s="51"/>
      <c r="P1" s="51"/>
      <c r="Q1" s="51"/>
      <c r="R1" s="51"/>
      <c r="S1" s="51"/>
      <c r="T1" s="51"/>
      <c r="U1" s="51"/>
      <c r="V1" s="51"/>
      <c r="W1" s="51"/>
      <c r="X1" s="51"/>
      <c r="Y1" s="51"/>
    </row>
    <row r="2" spans="1:25" ht="21" customHeight="1">
      <c r="A2" s="44"/>
      <c r="B2" s="45"/>
      <c r="C2" s="45"/>
      <c r="D2" s="45"/>
      <c r="E2" s="45"/>
      <c r="F2" s="45"/>
      <c r="G2" s="45"/>
      <c r="H2" s="45"/>
      <c r="I2" s="45"/>
      <c r="J2" s="45"/>
      <c r="K2" s="45"/>
      <c r="L2" s="46"/>
      <c r="N2" s="51"/>
      <c r="O2" s="51"/>
      <c r="P2" s="51"/>
      <c r="Q2" s="51"/>
      <c r="R2" s="51"/>
      <c r="S2" s="51"/>
      <c r="T2" s="51"/>
      <c r="U2" s="51"/>
      <c r="V2" s="51"/>
      <c r="W2" s="51"/>
      <c r="X2" s="51"/>
      <c r="Y2" s="51"/>
    </row>
    <row r="3" spans="1:25" ht="15" customHeight="1">
      <c r="A3" s="47" t="s">
        <v>2</v>
      </c>
      <c r="B3" s="47"/>
      <c r="C3" s="47"/>
      <c r="D3" s="49" t="s">
        <v>3</v>
      </c>
      <c r="E3" s="49"/>
      <c r="F3" s="49"/>
      <c r="G3" s="49"/>
      <c r="H3" s="49"/>
      <c r="I3" s="49"/>
      <c r="J3" s="49"/>
      <c r="K3" s="49"/>
      <c r="L3" s="49"/>
      <c r="N3" s="94" t="s">
        <v>4</v>
      </c>
      <c r="O3" s="94"/>
      <c r="P3" s="94"/>
      <c r="Q3" s="94" t="s">
        <v>5</v>
      </c>
      <c r="R3" s="94"/>
      <c r="S3" s="94"/>
      <c r="T3" s="94"/>
      <c r="U3" s="94"/>
      <c r="V3" s="94"/>
      <c r="W3" s="94"/>
      <c r="X3" s="94" t="s">
        <v>6</v>
      </c>
      <c r="Y3" s="94"/>
    </row>
    <row r="4" spans="1:25">
      <c r="A4" s="47"/>
      <c r="B4" s="47"/>
      <c r="C4" s="47"/>
      <c r="D4" s="49"/>
      <c r="E4" s="49"/>
      <c r="F4" s="49"/>
      <c r="G4" s="49"/>
      <c r="H4" s="49"/>
      <c r="I4" s="49"/>
      <c r="J4" s="49"/>
      <c r="K4" s="49"/>
      <c r="L4" s="49"/>
      <c r="N4" s="94"/>
      <c r="O4" s="94"/>
      <c r="P4" s="94"/>
      <c r="Q4" s="94"/>
      <c r="R4" s="94"/>
      <c r="S4" s="94"/>
      <c r="T4" s="94"/>
      <c r="U4" s="94"/>
      <c r="V4" s="94"/>
      <c r="W4" s="94"/>
      <c r="X4" s="94"/>
      <c r="Y4" s="94"/>
    </row>
    <row r="5" spans="1:25" ht="25.5" customHeight="1">
      <c r="A5" s="47"/>
      <c r="B5" s="47"/>
      <c r="C5" s="47"/>
      <c r="D5" s="49"/>
      <c r="E5" s="49"/>
      <c r="F5" s="49"/>
      <c r="G5" s="49"/>
      <c r="H5" s="49"/>
      <c r="I5" s="49"/>
      <c r="J5" s="49"/>
      <c r="K5" s="49"/>
      <c r="L5" s="49"/>
      <c r="N5" s="95" t="s">
        <v>7</v>
      </c>
      <c r="O5" s="95"/>
      <c r="P5" s="95"/>
      <c r="Q5" s="97" t="s">
        <v>8</v>
      </c>
      <c r="R5" s="97"/>
      <c r="S5" s="97"/>
      <c r="T5" s="97"/>
      <c r="U5" s="97"/>
      <c r="V5" s="97"/>
      <c r="W5" s="97"/>
      <c r="X5" s="79" t="s">
        <v>9</v>
      </c>
      <c r="Y5" s="80"/>
    </row>
    <row r="6" spans="1:25" ht="24" customHeight="1">
      <c r="A6" s="48"/>
      <c r="B6" s="48"/>
      <c r="C6" s="48"/>
      <c r="D6" s="50"/>
      <c r="E6" s="50"/>
      <c r="F6" s="50"/>
      <c r="G6" s="50"/>
      <c r="H6" s="50"/>
      <c r="I6" s="50"/>
      <c r="J6" s="50"/>
      <c r="K6" s="50"/>
      <c r="L6" s="50"/>
      <c r="N6" s="96"/>
      <c r="O6" s="96"/>
      <c r="P6" s="96"/>
      <c r="Q6" s="98"/>
      <c r="R6" s="98"/>
      <c r="S6" s="98"/>
      <c r="T6" s="98"/>
      <c r="U6" s="98"/>
      <c r="V6" s="98"/>
      <c r="W6" s="98"/>
      <c r="X6" s="81"/>
      <c r="Y6" s="82"/>
    </row>
    <row r="7" spans="1:25" ht="18.75" customHeight="1">
      <c r="A7" s="89" t="s">
        <v>10</v>
      </c>
      <c r="B7" s="89"/>
      <c r="C7" s="89"/>
      <c r="D7" s="52" t="s">
        <v>11</v>
      </c>
      <c r="E7" s="53"/>
      <c r="F7" s="53"/>
      <c r="G7" s="53"/>
      <c r="H7" s="53"/>
      <c r="I7" s="53"/>
      <c r="J7" s="53"/>
      <c r="K7" s="53"/>
      <c r="L7" s="54"/>
      <c r="N7" s="99" t="s">
        <v>12</v>
      </c>
      <c r="O7" s="99"/>
      <c r="P7" s="99"/>
      <c r="Q7" s="97" t="s">
        <v>13</v>
      </c>
      <c r="R7" s="97"/>
      <c r="S7" s="97"/>
      <c r="T7" s="97"/>
      <c r="U7" s="97"/>
      <c r="V7" s="97"/>
      <c r="W7" s="97"/>
      <c r="X7" s="100" t="s">
        <v>14</v>
      </c>
      <c r="Y7" s="100"/>
    </row>
    <row r="8" spans="1:25" ht="15" customHeight="1">
      <c r="A8" s="89"/>
      <c r="B8" s="89"/>
      <c r="C8" s="89"/>
      <c r="D8" s="55"/>
      <c r="E8" s="56"/>
      <c r="F8" s="56"/>
      <c r="G8" s="56"/>
      <c r="H8" s="56"/>
      <c r="I8" s="56"/>
      <c r="J8" s="56"/>
      <c r="K8" s="56"/>
      <c r="L8" s="57"/>
      <c r="N8" s="99"/>
      <c r="O8" s="99"/>
      <c r="P8" s="99"/>
      <c r="Q8" s="97"/>
      <c r="R8" s="97"/>
      <c r="S8" s="97"/>
      <c r="T8" s="97"/>
      <c r="U8" s="97"/>
      <c r="V8" s="97"/>
      <c r="W8" s="97"/>
      <c r="X8" s="100"/>
      <c r="Y8" s="100"/>
    </row>
    <row r="9" spans="1:25" ht="17.25" customHeight="1">
      <c r="A9" s="89"/>
      <c r="B9" s="89"/>
      <c r="C9" s="89"/>
      <c r="D9" s="55"/>
      <c r="E9" s="56"/>
      <c r="F9" s="56"/>
      <c r="G9" s="56"/>
      <c r="H9" s="56"/>
      <c r="I9" s="56"/>
      <c r="J9" s="56"/>
      <c r="K9" s="56"/>
      <c r="L9" s="57"/>
      <c r="N9" s="99"/>
      <c r="O9" s="99"/>
      <c r="P9" s="99"/>
      <c r="Q9" s="97"/>
      <c r="R9" s="97"/>
      <c r="S9" s="97"/>
      <c r="T9" s="97"/>
      <c r="U9" s="97"/>
      <c r="V9" s="97"/>
      <c r="W9" s="97"/>
      <c r="X9" s="100"/>
      <c r="Y9" s="100"/>
    </row>
    <row r="10" spans="1:25" ht="34.5" customHeight="1">
      <c r="A10" s="89"/>
      <c r="B10" s="89"/>
      <c r="C10" s="89"/>
      <c r="D10" s="55"/>
      <c r="E10" s="56"/>
      <c r="F10" s="56"/>
      <c r="G10" s="56"/>
      <c r="H10" s="56"/>
      <c r="I10" s="56"/>
      <c r="J10" s="56"/>
      <c r="K10" s="56"/>
      <c r="L10" s="57"/>
      <c r="N10" s="61" t="s">
        <v>15</v>
      </c>
      <c r="O10" s="62"/>
      <c r="P10" s="63"/>
      <c r="Q10" s="73" t="s">
        <v>16</v>
      </c>
      <c r="R10" s="74"/>
      <c r="S10" s="74"/>
      <c r="T10" s="74"/>
      <c r="U10" s="74"/>
      <c r="V10" s="74"/>
      <c r="W10" s="75"/>
      <c r="X10" s="79" t="s">
        <v>17</v>
      </c>
      <c r="Y10" s="80"/>
    </row>
    <row r="11" spans="1:25" ht="12.75" customHeight="1">
      <c r="A11" s="89"/>
      <c r="B11" s="89"/>
      <c r="C11" s="89"/>
      <c r="D11" s="55"/>
      <c r="E11" s="56"/>
      <c r="F11" s="56"/>
      <c r="G11" s="56"/>
      <c r="H11" s="56"/>
      <c r="I11" s="56"/>
      <c r="J11" s="56"/>
      <c r="K11" s="56"/>
      <c r="L11" s="57"/>
      <c r="N11" s="64"/>
      <c r="O11" s="65"/>
      <c r="P11" s="66"/>
      <c r="Q11" s="76"/>
      <c r="R11" s="77"/>
      <c r="S11" s="77"/>
      <c r="T11" s="77"/>
      <c r="U11" s="77"/>
      <c r="V11" s="77"/>
      <c r="W11" s="78"/>
      <c r="X11" s="81"/>
      <c r="Y11" s="82"/>
    </row>
    <row r="12" spans="1:25" ht="22.5" customHeight="1">
      <c r="A12" s="89"/>
      <c r="B12" s="89"/>
      <c r="C12" s="89"/>
      <c r="D12" s="58"/>
      <c r="E12" s="59"/>
      <c r="F12" s="59"/>
      <c r="G12" s="59"/>
      <c r="H12" s="59"/>
      <c r="I12" s="59"/>
      <c r="J12" s="59"/>
      <c r="K12" s="59"/>
      <c r="L12" s="60"/>
      <c r="N12" s="67" t="s">
        <v>18</v>
      </c>
      <c r="O12" s="68"/>
      <c r="P12" s="69"/>
      <c r="Q12" s="83" t="s">
        <v>19</v>
      </c>
      <c r="R12" s="84"/>
      <c r="S12" s="84"/>
      <c r="T12" s="84"/>
      <c r="U12" s="84"/>
      <c r="V12" s="84"/>
      <c r="W12" s="85"/>
      <c r="X12" s="79" t="s">
        <v>20</v>
      </c>
      <c r="Y12" s="80"/>
    </row>
    <row r="13" spans="1:25" ht="24" customHeight="1">
      <c r="A13" s="90" t="s">
        <v>21</v>
      </c>
      <c r="B13" s="91"/>
      <c r="C13" s="91"/>
      <c r="D13" s="52" t="s">
        <v>22</v>
      </c>
      <c r="E13" s="53"/>
      <c r="F13" s="53"/>
      <c r="G13" s="53"/>
      <c r="H13" s="53"/>
      <c r="I13" s="53"/>
      <c r="J13" s="53"/>
      <c r="K13" s="53"/>
      <c r="L13" s="54"/>
      <c r="N13" s="70"/>
      <c r="O13" s="71"/>
      <c r="P13" s="72"/>
      <c r="Q13" s="86"/>
      <c r="R13" s="87"/>
      <c r="S13" s="87"/>
      <c r="T13" s="87"/>
      <c r="U13" s="87"/>
      <c r="V13" s="87"/>
      <c r="W13" s="88"/>
      <c r="X13" s="81"/>
      <c r="Y13" s="82"/>
    </row>
    <row r="14" spans="1:25">
      <c r="A14" s="90"/>
      <c r="B14" s="91"/>
      <c r="C14" s="91"/>
      <c r="D14" s="55"/>
      <c r="E14" s="56"/>
      <c r="F14" s="56"/>
      <c r="G14" s="56"/>
      <c r="H14" s="56"/>
      <c r="I14" s="56"/>
      <c r="J14" s="56"/>
      <c r="K14" s="56"/>
      <c r="L14" s="57"/>
    </row>
    <row r="15" spans="1:25" ht="7.5" customHeight="1">
      <c r="A15" s="90"/>
      <c r="B15" s="91"/>
      <c r="C15" s="91"/>
      <c r="D15" s="55"/>
      <c r="E15" s="56"/>
      <c r="F15" s="56"/>
      <c r="G15" s="56"/>
      <c r="H15" s="56"/>
      <c r="I15" s="56"/>
      <c r="J15" s="56"/>
      <c r="K15" s="56"/>
      <c r="L15" s="57"/>
    </row>
    <row r="16" spans="1:25" ht="39" customHeight="1">
      <c r="A16" s="90"/>
      <c r="B16" s="91"/>
      <c r="C16" s="91"/>
      <c r="D16" s="55"/>
      <c r="E16" s="56"/>
      <c r="F16" s="56"/>
      <c r="G16" s="56"/>
      <c r="H16" s="56"/>
      <c r="I16" s="56"/>
      <c r="J16" s="56"/>
      <c r="K16" s="56"/>
      <c r="L16" s="57"/>
    </row>
    <row r="17" spans="1:13" ht="14.25" customHeight="1">
      <c r="A17" s="92"/>
      <c r="B17" s="93"/>
      <c r="C17" s="93"/>
      <c r="D17" s="58"/>
      <c r="E17" s="59"/>
      <c r="F17" s="59"/>
      <c r="G17" s="59"/>
      <c r="H17" s="59"/>
      <c r="I17" s="59"/>
      <c r="J17" s="59"/>
      <c r="K17" s="59"/>
      <c r="L17" s="60"/>
    </row>
    <row r="18" spans="1:13" ht="36" customHeight="1"/>
    <row r="19" spans="1:13" ht="48" customHeight="1"/>
    <row r="20" spans="1:13" ht="54.75" customHeight="1"/>
    <row r="21" spans="1:13" ht="58.5" customHeight="1">
      <c r="M21" s="30"/>
    </row>
    <row r="22" spans="1:13" ht="48" customHeight="1"/>
  </sheetData>
  <sheetProtection algorithmName="SHA-512" hashValue="6RJfzQBIfo+NUEXqBzRUE/nuz59oeBdKw+nMtBwBvkznMwFDZsuuClsBOKtckXoFYm71iacXGYQ7I/vgToxHEQ==" saltValue="R5cmr5of6+F+TQ94pEFcRA==" spinCount="100000" sheet="1" objects="1" scenarios="1"/>
  <mergeCells count="23">
    <mergeCell ref="X5:Y6"/>
    <mergeCell ref="Q3:W4"/>
    <mergeCell ref="Q5:W6"/>
    <mergeCell ref="D13:L17"/>
    <mergeCell ref="N7:P9"/>
    <mergeCell ref="Q7:W9"/>
    <mergeCell ref="X7:Y9"/>
    <mergeCell ref="A1:L2"/>
    <mergeCell ref="A3:C6"/>
    <mergeCell ref="D3:L6"/>
    <mergeCell ref="N1:Y2"/>
    <mergeCell ref="D7:L12"/>
    <mergeCell ref="N10:P11"/>
    <mergeCell ref="N12:P13"/>
    <mergeCell ref="Q10:W11"/>
    <mergeCell ref="X10:Y11"/>
    <mergeCell ref="Q12:W13"/>
    <mergeCell ref="X12:Y13"/>
    <mergeCell ref="A7:C12"/>
    <mergeCell ref="A13:C17"/>
    <mergeCell ref="N3:P4"/>
    <mergeCell ref="N5:P6"/>
    <mergeCell ref="X3:Y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2:U23"/>
  <sheetViews>
    <sheetView topLeftCell="C10" workbookViewId="0">
      <selection activeCell="G17" sqref="G17"/>
    </sheetView>
  </sheetViews>
  <sheetFormatPr baseColWidth="10" defaultColWidth="11.42578125" defaultRowHeight="15" customHeight="1"/>
  <cols>
    <col min="2" max="2" width="103.42578125" customWidth="1"/>
    <col min="3" max="3" width="13.28515625" customWidth="1"/>
    <col min="6" max="6" width="15.140625" customWidth="1"/>
    <col min="8" max="8" width="13.42578125" customWidth="1"/>
    <col min="11" max="20" width="11.42578125" hidden="1" customWidth="1"/>
    <col min="21" max="21" width="6.85546875" hidden="1" customWidth="1"/>
  </cols>
  <sheetData>
    <row r="2" spans="1:21" ht="21" customHeight="1">
      <c r="A2" s="101" t="s">
        <v>23</v>
      </c>
      <c r="B2" s="117" t="s">
        <v>24</v>
      </c>
      <c r="C2" s="118"/>
      <c r="D2" s="118"/>
      <c r="E2" s="103" t="s">
        <v>25</v>
      </c>
      <c r="F2" s="103" t="s">
        <v>26</v>
      </c>
      <c r="G2" s="103" t="s">
        <v>27</v>
      </c>
      <c r="H2" s="103" t="s">
        <v>28</v>
      </c>
      <c r="I2" s="113" t="s">
        <v>4</v>
      </c>
    </row>
    <row r="3" spans="1:21">
      <c r="A3" s="101"/>
      <c r="B3" s="117"/>
      <c r="C3" s="118"/>
      <c r="D3" s="118"/>
      <c r="E3" s="103"/>
      <c r="F3" s="103"/>
      <c r="G3" s="103"/>
      <c r="H3" s="103"/>
      <c r="I3" s="113"/>
    </row>
    <row r="4" spans="1:21">
      <c r="A4" s="102"/>
      <c r="B4" s="119"/>
      <c r="C4" s="120"/>
      <c r="D4" s="120"/>
      <c r="E4" s="107" t="s">
        <v>29</v>
      </c>
      <c r="F4" s="107"/>
      <c r="G4" s="107"/>
      <c r="H4" s="107"/>
      <c r="I4" s="114"/>
    </row>
    <row r="5" spans="1:21" ht="41.25" customHeight="1">
      <c r="A5" s="1">
        <v>1</v>
      </c>
      <c r="B5" s="104" t="s">
        <v>30</v>
      </c>
      <c r="C5" s="105"/>
      <c r="D5" s="106"/>
      <c r="E5" s="6"/>
      <c r="F5" s="6"/>
      <c r="G5" s="5"/>
      <c r="H5" s="6"/>
      <c r="I5" s="115">
        <f>S8</f>
        <v>0</v>
      </c>
      <c r="K5" s="108" t="s">
        <v>31</v>
      </c>
      <c r="L5" s="109"/>
      <c r="M5" s="109"/>
      <c r="N5" s="109"/>
      <c r="O5" s="109"/>
      <c r="P5" s="109"/>
      <c r="Q5" s="109"/>
      <c r="R5" s="109"/>
      <c r="S5" s="109"/>
      <c r="T5" s="109"/>
      <c r="U5" s="110"/>
    </row>
    <row r="6" spans="1:21" ht="41.25" customHeight="1">
      <c r="A6" s="1">
        <v>2</v>
      </c>
      <c r="B6" s="104" t="s">
        <v>32</v>
      </c>
      <c r="C6" s="105"/>
      <c r="D6" s="106"/>
      <c r="E6" s="4"/>
      <c r="F6" s="4"/>
      <c r="G6" s="2"/>
      <c r="H6" s="4"/>
      <c r="I6" s="116"/>
      <c r="K6" s="111" t="s">
        <v>33</v>
      </c>
      <c r="L6" s="109"/>
      <c r="M6" s="110"/>
      <c r="N6" s="3" t="s">
        <v>34</v>
      </c>
      <c r="O6" s="111" t="s">
        <v>35</v>
      </c>
      <c r="P6" s="110"/>
      <c r="Q6" s="3" t="s">
        <v>36</v>
      </c>
      <c r="R6" s="3" t="s">
        <v>37</v>
      </c>
      <c r="S6" s="3" t="s">
        <v>38</v>
      </c>
      <c r="T6" s="111" t="s">
        <v>39</v>
      </c>
      <c r="U6" s="110"/>
    </row>
    <row r="7" spans="1:21" ht="33" customHeight="1">
      <c r="A7" s="1">
        <v>3</v>
      </c>
      <c r="B7" s="104" t="s">
        <v>40</v>
      </c>
      <c r="C7" s="105"/>
      <c r="D7" s="106"/>
      <c r="E7" s="4"/>
      <c r="F7" s="4"/>
      <c r="G7" s="2"/>
      <c r="H7" s="4"/>
      <c r="I7" s="116"/>
      <c r="K7" s="3">
        <f>(E5*1)+(F5*0.75)+(G5*0.5)+(H5*0.25)</f>
        <v>0</v>
      </c>
      <c r="L7" s="3">
        <f>(E6*1)+(F6*0.75)+(G6*0.5)+(H6*0.25)</f>
        <v>0</v>
      </c>
      <c r="M7" s="3">
        <f>(E7*1)+(F7*0.75)+(G7*0.5)+(H7*0.25)</f>
        <v>0</v>
      </c>
      <c r="N7" s="3">
        <f>(E8*1)+(F8*0.75)+(G8*0.5)+(H8*0.25)</f>
        <v>0</v>
      </c>
      <c r="O7" s="3">
        <f>(E9*1)+(F9*0.75)+(G9*0.5)+(H9*0.25)</f>
        <v>0</v>
      </c>
      <c r="P7" s="3">
        <f>(E10*1)+(F10*0.75)+(G10*0.5)+(H10*0.25)</f>
        <v>0</v>
      </c>
      <c r="Q7" s="3">
        <f>(E11*1)+(F11*0.75)+(G11*0.5)+(H11*0.25)</f>
        <v>0</v>
      </c>
      <c r="R7" s="3">
        <f>(E12*1)+(F12*0.75)+(G12*0.5)+(H12*0.25)</f>
        <v>0</v>
      </c>
      <c r="S7" s="3">
        <f>(E13*1)+(F13*0.75)+(G13*0.5)+(H13*0.25)</f>
        <v>0</v>
      </c>
      <c r="T7" s="3">
        <f>(E14*1)+(F14*0.75)+(G14*0.5)+(H14*0.25)</f>
        <v>0</v>
      </c>
      <c r="U7" s="3">
        <f>(E15*1)+(F15*0.75)+(G15*0.5)+(H15*0.25)</f>
        <v>0</v>
      </c>
    </row>
    <row r="8" spans="1:21" ht="38.25" customHeight="1">
      <c r="A8" s="1">
        <v>4</v>
      </c>
      <c r="B8" s="104" t="s">
        <v>41</v>
      </c>
      <c r="C8" s="105"/>
      <c r="D8" s="106"/>
      <c r="E8" s="4"/>
      <c r="F8" s="4"/>
      <c r="G8" s="2"/>
      <c r="H8" s="4"/>
      <c r="I8" s="116"/>
      <c r="K8" s="111" t="s">
        <v>42</v>
      </c>
      <c r="L8" s="109"/>
      <c r="M8" s="109"/>
      <c r="N8" s="109"/>
      <c r="O8" s="109"/>
      <c r="P8" s="109"/>
      <c r="Q8" s="109"/>
      <c r="R8" s="110"/>
      <c r="S8" s="112">
        <f>(AVERAGE(K7:U7))</f>
        <v>0</v>
      </c>
      <c r="T8" s="109"/>
      <c r="U8" s="110"/>
    </row>
    <row r="9" spans="1:21" ht="26.25" customHeight="1">
      <c r="A9" s="1">
        <v>5</v>
      </c>
      <c r="B9" s="104" t="s">
        <v>43</v>
      </c>
      <c r="C9" s="105"/>
      <c r="D9" s="106"/>
      <c r="E9" s="4"/>
      <c r="F9" s="4"/>
      <c r="G9" s="2"/>
      <c r="H9" s="4"/>
      <c r="I9" s="116"/>
    </row>
    <row r="10" spans="1:21" ht="29.25" customHeight="1">
      <c r="A10" s="1">
        <v>6</v>
      </c>
      <c r="B10" s="104" t="s">
        <v>44</v>
      </c>
      <c r="C10" s="105"/>
      <c r="D10" s="106"/>
      <c r="E10" s="4"/>
      <c r="F10" s="4"/>
      <c r="G10" s="2"/>
      <c r="H10" s="4"/>
      <c r="I10" s="116"/>
    </row>
    <row r="11" spans="1:21" ht="32.25" customHeight="1">
      <c r="A11" s="1">
        <v>7</v>
      </c>
      <c r="B11" s="104" t="s">
        <v>45</v>
      </c>
      <c r="C11" s="105"/>
      <c r="D11" s="106"/>
      <c r="E11" s="4"/>
      <c r="F11" s="4"/>
      <c r="G11" s="2"/>
      <c r="H11" s="4"/>
      <c r="I11" s="116"/>
    </row>
    <row r="12" spans="1:21" ht="33" customHeight="1">
      <c r="A12" s="1">
        <v>8</v>
      </c>
      <c r="B12" s="104" t="s">
        <v>46</v>
      </c>
      <c r="C12" s="105"/>
      <c r="D12" s="106"/>
      <c r="E12" s="4"/>
      <c r="F12" s="4"/>
      <c r="G12" s="2"/>
      <c r="H12" s="4"/>
      <c r="I12" s="116"/>
    </row>
    <row r="13" spans="1:21" ht="27.75" customHeight="1">
      <c r="A13" s="1">
        <v>9</v>
      </c>
      <c r="B13" s="104" t="s">
        <v>47</v>
      </c>
      <c r="C13" s="105"/>
      <c r="D13" s="106"/>
      <c r="E13" s="4"/>
      <c r="F13" s="4"/>
      <c r="G13" s="2"/>
      <c r="H13" s="4"/>
      <c r="I13" s="116"/>
    </row>
    <row r="14" spans="1:21" ht="57" customHeight="1">
      <c r="A14" s="1">
        <v>10</v>
      </c>
      <c r="B14" s="104" t="s">
        <v>48</v>
      </c>
      <c r="C14" s="105"/>
      <c r="D14" s="106"/>
      <c r="E14" s="4"/>
      <c r="F14" s="4"/>
      <c r="G14" s="2"/>
      <c r="H14" s="4"/>
      <c r="I14" s="116"/>
    </row>
    <row r="15" spans="1:21" ht="47.25" customHeight="1">
      <c r="A15" s="1">
        <v>11</v>
      </c>
      <c r="B15" s="104" t="s">
        <v>49</v>
      </c>
      <c r="C15" s="105"/>
      <c r="D15" s="106"/>
      <c r="E15" s="4"/>
      <c r="F15" s="4"/>
      <c r="G15" s="2"/>
      <c r="H15" s="4"/>
      <c r="I15" s="116"/>
    </row>
    <row r="17" spans="5:8" ht="15" customHeight="1">
      <c r="E17" s="31"/>
      <c r="F17" s="31"/>
      <c r="G17" s="31"/>
      <c r="H17" s="31"/>
    </row>
    <row r="18" spans="5:8" ht="15" customHeight="1">
      <c r="E18" s="31"/>
      <c r="F18" s="31"/>
      <c r="G18" s="31"/>
      <c r="H18" s="31"/>
    </row>
    <row r="19" spans="5:8" ht="15" customHeight="1">
      <c r="E19" s="31"/>
      <c r="F19" s="31"/>
      <c r="G19" s="31"/>
      <c r="H19" s="31"/>
    </row>
    <row r="20" spans="5:8" ht="15" customHeight="1">
      <c r="E20" s="32"/>
      <c r="F20" s="33"/>
      <c r="G20" s="33"/>
      <c r="H20" s="33"/>
    </row>
    <row r="21" spans="5:8" ht="15" customHeight="1">
      <c r="E21" s="33"/>
      <c r="F21" s="33"/>
      <c r="G21" s="33"/>
      <c r="H21" s="33"/>
    </row>
    <row r="22" spans="5:8" ht="15" customHeight="1">
      <c r="E22" s="32"/>
      <c r="F22" s="33"/>
      <c r="G22" s="33"/>
      <c r="H22" s="33"/>
    </row>
    <row r="23" spans="5:8" ht="15" customHeight="1">
      <c r="E23" s="33"/>
      <c r="F23" s="33"/>
      <c r="G23" s="33"/>
      <c r="H23" s="33"/>
    </row>
  </sheetData>
  <sheetProtection algorithmName="SHA-512" hashValue="XR6Mf7p1GDnEHMTrbPNgVgAD1iBBA+pFR+MPSJ5LjYdYrCbTt9BdU2M+Y7mS5iSLitUP0eGtp4KHOgVY4RM/kw==" saltValue="+Bmxe7CsEivba9M7UrwCOQ==" spinCount="100000" sheet="1" objects="1" scenarios="1"/>
  <protectedRanges>
    <protectedRange sqref="E5:H15" name="RespuestasCI"/>
  </protectedRanges>
  <mergeCells count="26">
    <mergeCell ref="I2:I4"/>
    <mergeCell ref="I5:I15"/>
    <mergeCell ref="B9:D9"/>
    <mergeCell ref="B10:D10"/>
    <mergeCell ref="B11:D11"/>
    <mergeCell ref="B12:D12"/>
    <mergeCell ref="B13:D13"/>
    <mergeCell ref="B14:D14"/>
    <mergeCell ref="B2:D4"/>
    <mergeCell ref="B5:D5"/>
    <mergeCell ref="B6:D6"/>
    <mergeCell ref="B7:D7"/>
    <mergeCell ref="K5:U5"/>
    <mergeCell ref="K6:M6"/>
    <mergeCell ref="O6:P6"/>
    <mergeCell ref="T6:U6"/>
    <mergeCell ref="K8:R8"/>
    <mergeCell ref="S8:U8"/>
    <mergeCell ref="A2:A4"/>
    <mergeCell ref="F2:F3"/>
    <mergeCell ref="E2:E3"/>
    <mergeCell ref="B8:D8"/>
    <mergeCell ref="B15:D15"/>
    <mergeCell ref="E4:H4"/>
    <mergeCell ref="G2:G3"/>
    <mergeCell ref="H2:H3"/>
  </mergeCells>
  <dataValidations count="1">
    <dataValidation type="whole" allowBlank="1" showInputMessage="1" showErrorMessage="1" sqref="E5:H15">
      <formula1>0</formula1>
      <formula2>1</formula2>
    </dataValidation>
  </dataValidation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2:V22"/>
  <sheetViews>
    <sheetView topLeftCell="C13" workbookViewId="0">
      <selection activeCell="H7" sqref="H7"/>
    </sheetView>
  </sheetViews>
  <sheetFormatPr baseColWidth="10" defaultColWidth="8.7109375" defaultRowHeight="15"/>
  <cols>
    <col min="1" max="1" width="5" customWidth="1"/>
    <col min="2" max="2" width="33" customWidth="1"/>
    <col min="3" max="3" width="19" customWidth="1"/>
    <col min="4" max="4" width="30.28515625" customWidth="1"/>
    <col min="5" max="5" width="19.28515625" customWidth="1"/>
    <col min="6" max="6" width="20.28515625" customWidth="1"/>
    <col min="7" max="7" width="18.85546875" customWidth="1"/>
    <col min="8" max="8" width="19.7109375" customWidth="1"/>
    <col min="9" max="9" width="14.85546875" customWidth="1"/>
    <col min="11" max="21" width="8.7109375" hidden="1" customWidth="1"/>
  </cols>
  <sheetData>
    <row r="2" spans="1:22" ht="25.5" customHeight="1">
      <c r="A2" s="134" t="s">
        <v>23</v>
      </c>
      <c r="B2" s="135" t="s">
        <v>24</v>
      </c>
      <c r="C2" s="135"/>
      <c r="D2" s="135"/>
      <c r="E2" s="132" t="s">
        <v>25</v>
      </c>
      <c r="F2" s="132" t="s">
        <v>26</v>
      </c>
      <c r="G2" s="132" t="s">
        <v>27</v>
      </c>
      <c r="H2" s="132" t="s">
        <v>28</v>
      </c>
      <c r="I2" s="127" t="s">
        <v>4</v>
      </c>
    </row>
    <row r="3" spans="1:22">
      <c r="A3" s="134"/>
      <c r="B3" s="135"/>
      <c r="C3" s="135"/>
      <c r="D3" s="135"/>
      <c r="E3" s="133"/>
      <c r="F3" s="133"/>
      <c r="G3" s="133"/>
      <c r="H3" s="133"/>
      <c r="I3" s="128"/>
      <c r="K3" s="125" t="s">
        <v>50</v>
      </c>
      <c r="L3" s="124"/>
      <c r="M3" s="124"/>
      <c r="N3" s="124"/>
      <c r="O3" s="124"/>
      <c r="P3" s="124"/>
      <c r="Q3" s="124"/>
      <c r="R3" s="124"/>
      <c r="S3" s="124"/>
      <c r="T3" s="124"/>
      <c r="U3" s="124"/>
    </row>
    <row r="4" spans="1:22" ht="18" customHeight="1">
      <c r="A4" s="134"/>
      <c r="B4" s="135"/>
      <c r="C4" s="135"/>
      <c r="D4" s="135"/>
      <c r="E4" s="129" t="s">
        <v>29</v>
      </c>
      <c r="F4" s="130"/>
      <c r="G4" s="130"/>
      <c r="H4" s="131"/>
      <c r="I4" s="128"/>
      <c r="K4" s="123" t="s">
        <v>33</v>
      </c>
      <c r="L4" s="124"/>
      <c r="M4" s="7" t="s">
        <v>34</v>
      </c>
      <c r="N4" s="7" t="s">
        <v>35</v>
      </c>
      <c r="O4" s="7" t="s">
        <v>36</v>
      </c>
      <c r="P4" s="123" t="s">
        <v>37</v>
      </c>
      <c r="Q4" s="124"/>
      <c r="R4" s="124"/>
      <c r="S4" s="124"/>
      <c r="T4" s="123" t="s">
        <v>38</v>
      </c>
      <c r="U4" s="124"/>
    </row>
    <row r="5" spans="1:22" ht="36" customHeight="1">
      <c r="A5" s="8">
        <v>1</v>
      </c>
      <c r="B5" s="121" t="s">
        <v>51</v>
      </c>
      <c r="C5" s="121"/>
      <c r="D5" s="122"/>
      <c r="E5" s="5"/>
      <c r="F5" s="5"/>
      <c r="G5" s="5"/>
      <c r="H5" s="6"/>
      <c r="I5" s="126">
        <f>U6</f>
        <v>0</v>
      </c>
      <c r="K5" s="2">
        <f>(E5*1)+(F5*0.75)+(G5*0.5)+(H5*0.25)</f>
        <v>0</v>
      </c>
      <c r="L5" s="2">
        <f>(E6*1)+(F6*0.75)+(G6*0.5)+(H6*0.25)</f>
        <v>0</v>
      </c>
      <c r="M5" s="2">
        <f>(E7*1)+(F7*0.75)+(G7*0.5)+(H7*0.25)</f>
        <v>0</v>
      </c>
      <c r="N5" s="2">
        <f>(E8*1)+(F8*0.75)+(G8*0.5)+(H8*0.25)</f>
        <v>0</v>
      </c>
      <c r="O5" s="7">
        <f>(E9*1)+(F9*0.75)+(G9*0.5)+(H9*0.25)</f>
        <v>0</v>
      </c>
      <c r="P5" s="7">
        <f>(E10*1)+(F10*0.75)+(G10*0.5)+(H10*0.25)</f>
        <v>0</v>
      </c>
      <c r="Q5" s="7">
        <f>(E11*1)+(F11*0.75)+(G11*0.5)+(H11*0.25)</f>
        <v>0</v>
      </c>
      <c r="R5" s="7">
        <f>(E12*1)+(F12*0.75)+(G12*0.5)+(H12*0.25)</f>
        <v>0</v>
      </c>
      <c r="S5" s="7">
        <f>(E13*1)+(F13*0.75)+(G13*0.5)+(H13*0.25)</f>
        <v>0</v>
      </c>
      <c r="T5" s="7">
        <f>(E14*1)+(F14*0.75)+(G14*0.5)+(H14*0.25)</f>
        <v>0</v>
      </c>
      <c r="U5" s="7">
        <f>(E15*1)+(F15*0.75)+(G15*0.5)+(H15*0.25)</f>
        <v>0</v>
      </c>
      <c r="V5" s="14"/>
    </row>
    <row r="6" spans="1:22" ht="39.75" customHeight="1">
      <c r="A6" s="8">
        <v>2</v>
      </c>
      <c r="B6" s="121" t="s">
        <v>52</v>
      </c>
      <c r="C6" s="121"/>
      <c r="D6" s="122"/>
      <c r="E6" s="2"/>
      <c r="F6" s="2"/>
      <c r="G6" s="2"/>
      <c r="H6" s="4"/>
      <c r="I6" s="126"/>
      <c r="K6" s="123" t="s">
        <v>42</v>
      </c>
      <c r="L6" s="124"/>
      <c r="M6" s="124"/>
      <c r="N6" s="124"/>
      <c r="O6" s="124"/>
      <c r="P6" s="124"/>
      <c r="Q6" s="124"/>
      <c r="R6" s="124"/>
      <c r="S6" s="124"/>
      <c r="T6" s="124"/>
      <c r="U6" s="22">
        <f>AVERAGE(K5:U5)</f>
        <v>0</v>
      </c>
    </row>
    <row r="7" spans="1:22" ht="59.25" customHeight="1">
      <c r="A7" s="8">
        <v>3</v>
      </c>
      <c r="B7" s="121" t="s">
        <v>53</v>
      </c>
      <c r="C7" s="121"/>
      <c r="D7" s="122"/>
      <c r="E7" s="2"/>
      <c r="F7" s="2"/>
      <c r="G7" s="2"/>
      <c r="H7" s="4"/>
      <c r="I7" s="126"/>
    </row>
    <row r="8" spans="1:22" ht="59.25" customHeight="1">
      <c r="A8" s="8">
        <v>4</v>
      </c>
      <c r="B8" s="121" t="s">
        <v>54</v>
      </c>
      <c r="C8" s="121"/>
      <c r="D8" s="122"/>
      <c r="E8" s="2"/>
      <c r="F8" s="2"/>
      <c r="G8" s="2"/>
      <c r="H8" s="4"/>
      <c r="I8" s="126"/>
    </row>
    <row r="9" spans="1:22" ht="36.75" customHeight="1">
      <c r="A9" s="8">
        <v>5</v>
      </c>
      <c r="B9" s="121" t="s">
        <v>55</v>
      </c>
      <c r="C9" s="121"/>
      <c r="D9" s="122"/>
      <c r="E9" s="2"/>
      <c r="F9" s="2"/>
      <c r="G9" s="2"/>
      <c r="H9" s="4"/>
      <c r="I9" s="126"/>
    </row>
    <row r="10" spans="1:22" ht="25.5" customHeight="1">
      <c r="A10" s="8">
        <v>6</v>
      </c>
      <c r="B10" s="121" t="s">
        <v>56</v>
      </c>
      <c r="C10" s="121"/>
      <c r="D10" s="122"/>
      <c r="E10" s="2"/>
      <c r="F10" s="2"/>
      <c r="G10" s="2"/>
      <c r="H10" s="4"/>
      <c r="I10" s="126"/>
    </row>
    <row r="11" spans="1:22" ht="24.75" customHeight="1">
      <c r="A11" s="8">
        <v>7</v>
      </c>
      <c r="B11" s="121" t="s">
        <v>57</v>
      </c>
      <c r="C11" s="121"/>
      <c r="D11" s="122"/>
      <c r="E11" s="2"/>
      <c r="F11" s="2"/>
      <c r="G11" s="2"/>
      <c r="H11" s="4"/>
      <c r="I11" s="126"/>
    </row>
    <row r="12" spans="1:22" ht="28.5" customHeight="1">
      <c r="A12" s="8">
        <v>8</v>
      </c>
      <c r="B12" s="121" t="s">
        <v>58</v>
      </c>
      <c r="C12" s="121"/>
      <c r="D12" s="122"/>
      <c r="E12" s="2"/>
      <c r="F12" s="2"/>
      <c r="G12" s="2"/>
      <c r="H12" s="4"/>
      <c r="I12" s="126"/>
    </row>
    <row r="13" spans="1:22" ht="33.75" customHeight="1">
      <c r="A13" s="8">
        <v>9</v>
      </c>
      <c r="B13" s="121" t="s">
        <v>59</v>
      </c>
      <c r="C13" s="121"/>
      <c r="D13" s="122"/>
      <c r="E13" s="2"/>
      <c r="F13" s="2"/>
      <c r="G13" s="2"/>
      <c r="H13" s="4"/>
      <c r="I13" s="126"/>
    </row>
    <row r="14" spans="1:22" ht="55.5" customHeight="1">
      <c r="A14" s="8">
        <v>10</v>
      </c>
      <c r="B14" s="121" t="s">
        <v>60</v>
      </c>
      <c r="C14" s="121"/>
      <c r="D14" s="122"/>
      <c r="E14" s="2"/>
      <c r="F14" s="2"/>
      <c r="G14" s="2"/>
      <c r="H14" s="4"/>
      <c r="I14" s="126"/>
    </row>
    <row r="15" spans="1:22" ht="41.25" customHeight="1">
      <c r="A15" s="8">
        <v>11</v>
      </c>
      <c r="B15" s="121" t="s">
        <v>61</v>
      </c>
      <c r="C15" s="121"/>
      <c r="D15" s="122"/>
      <c r="E15" s="2"/>
      <c r="F15" s="2"/>
      <c r="G15" s="2"/>
      <c r="H15" s="4"/>
      <c r="I15" s="126"/>
    </row>
    <row r="17" spans="5:8" ht="15" customHeight="1">
      <c r="E17" s="34"/>
      <c r="F17" s="34"/>
      <c r="G17" s="34"/>
      <c r="H17" s="34"/>
    </row>
    <row r="18" spans="5:8">
      <c r="E18" s="34"/>
      <c r="F18" s="34"/>
      <c r="G18" s="34"/>
      <c r="H18" s="34"/>
    </row>
    <row r="19" spans="5:8">
      <c r="E19" s="35"/>
      <c r="F19" s="36"/>
      <c r="G19" s="36"/>
      <c r="H19" s="36"/>
    </row>
    <row r="20" spans="5:8">
      <c r="E20" s="36"/>
      <c r="F20" s="36"/>
      <c r="G20" s="36"/>
      <c r="H20" s="36"/>
    </row>
    <row r="21" spans="5:8">
      <c r="E21" s="38"/>
      <c r="F21" s="38"/>
      <c r="G21" s="38"/>
      <c r="H21" s="38"/>
    </row>
    <row r="22" spans="5:8" ht="14.45" customHeight="1">
      <c r="E22" s="38"/>
      <c r="F22" s="38"/>
      <c r="G22" s="38"/>
      <c r="H22" s="38"/>
    </row>
  </sheetData>
  <sheetProtection algorithmName="SHA-512" hashValue="DxxlLPGPomyo/s7q3kAz+IyHqC2b1a75Wfc20q752RiRR49Vl1WI1Iy4cK/wIZNbt95ExdynWNptP2V4B01CRg==" saltValue="vVWPiUJgsuZ8HiscViGHwQ==" spinCount="100000" sheet="1" objects="1" scenarios="1"/>
  <protectedRanges>
    <protectedRange sqref="E5:H15" name="RespuestasGdI"/>
  </protectedRanges>
  <mergeCells count="25">
    <mergeCell ref="A2:A4"/>
    <mergeCell ref="B2:D4"/>
    <mergeCell ref="B5:D5"/>
    <mergeCell ref="B6:D6"/>
    <mergeCell ref="B7:D7"/>
    <mergeCell ref="I5:I15"/>
    <mergeCell ref="I2:I4"/>
    <mergeCell ref="E4:H4"/>
    <mergeCell ref="H2:H3"/>
    <mergeCell ref="G2:G3"/>
    <mergeCell ref="F2:F3"/>
    <mergeCell ref="E2:E3"/>
    <mergeCell ref="K6:T6"/>
    <mergeCell ref="K3:U3"/>
    <mergeCell ref="K4:L4"/>
    <mergeCell ref="P4:S4"/>
    <mergeCell ref="T4:U4"/>
    <mergeCell ref="B14:D14"/>
    <mergeCell ref="B15:D15"/>
    <mergeCell ref="B11:D11"/>
    <mergeCell ref="B8:D8"/>
    <mergeCell ref="B9:D9"/>
    <mergeCell ref="B10:D10"/>
    <mergeCell ref="B12:D12"/>
    <mergeCell ref="B13:D13"/>
  </mergeCells>
  <dataValidations count="1">
    <dataValidation type="whole" allowBlank="1" showInputMessage="1" showErrorMessage="1" sqref="E5:H15">
      <formula1>0</formula1>
      <formula2>1</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EBCF7"/>
  </sheetPr>
  <dimension ref="A2:Y24"/>
  <sheetViews>
    <sheetView topLeftCell="B13" zoomScale="75" workbookViewId="0">
      <selection activeCell="F16" sqref="F16"/>
    </sheetView>
  </sheetViews>
  <sheetFormatPr baseColWidth="10" defaultColWidth="8.7109375" defaultRowHeight="15"/>
  <cols>
    <col min="2" max="2" width="51.7109375" customWidth="1"/>
    <col min="3" max="3" width="41" customWidth="1"/>
    <col min="4" max="4" width="13.42578125" customWidth="1"/>
    <col min="5" max="5" width="17.140625" customWidth="1"/>
    <col min="6" max="6" width="15.42578125" customWidth="1"/>
    <col min="7" max="7" width="15" customWidth="1"/>
    <col min="8" max="8" width="13" customWidth="1"/>
    <col min="11" max="21" width="8.7109375" hidden="1" customWidth="1"/>
    <col min="22" max="22" width="4.42578125" hidden="1" customWidth="1"/>
  </cols>
  <sheetData>
    <row r="2" spans="1:25" ht="15" customHeight="1">
      <c r="A2" s="134" t="s">
        <v>23</v>
      </c>
      <c r="B2" s="135" t="s">
        <v>24</v>
      </c>
      <c r="C2" s="135"/>
      <c r="D2" s="152"/>
      <c r="E2" s="144" t="s">
        <v>25</v>
      </c>
      <c r="F2" s="144" t="s">
        <v>26</v>
      </c>
      <c r="G2" s="144" t="s">
        <v>27</v>
      </c>
      <c r="H2" s="144" t="s">
        <v>28</v>
      </c>
      <c r="I2" s="146" t="s">
        <v>4</v>
      </c>
      <c r="K2" s="136" t="s">
        <v>15</v>
      </c>
      <c r="L2" s="137"/>
      <c r="M2" s="137"/>
      <c r="N2" s="137"/>
      <c r="O2" s="137"/>
      <c r="P2" s="137"/>
      <c r="Q2" s="137"/>
      <c r="R2" s="137"/>
      <c r="S2" s="137"/>
      <c r="T2" s="137"/>
      <c r="U2" s="137"/>
      <c r="V2" s="138"/>
    </row>
    <row r="3" spans="1:25" ht="15" customHeight="1">
      <c r="A3" s="134"/>
      <c r="B3" s="135"/>
      <c r="C3" s="135"/>
      <c r="D3" s="152"/>
      <c r="E3" s="145"/>
      <c r="F3" s="145"/>
      <c r="G3" s="145"/>
      <c r="H3" s="145"/>
      <c r="I3" s="147"/>
      <c r="K3" s="139" t="s">
        <v>33</v>
      </c>
      <c r="L3" s="140"/>
      <c r="M3" s="141"/>
      <c r="N3" s="7" t="s">
        <v>34</v>
      </c>
      <c r="O3" s="7" t="s">
        <v>35</v>
      </c>
      <c r="P3" s="139" t="s">
        <v>36</v>
      </c>
      <c r="Q3" s="141"/>
      <c r="R3" s="139" t="s">
        <v>37</v>
      </c>
      <c r="S3" s="140"/>
      <c r="T3" s="140"/>
      <c r="U3" s="140"/>
      <c r="V3" s="141"/>
    </row>
    <row r="4" spans="1:25" ht="15" customHeight="1">
      <c r="A4" s="134"/>
      <c r="B4" s="135"/>
      <c r="C4" s="135"/>
      <c r="D4" s="152"/>
      <c r="E4" s="149" t="s">
        <v>29</v>
      </c>
      <c r="F4" s="150"/>
      <c r="G4" s="150"/>
      <c r="H4" s="151"/>
      <c r="I4" s="147"/>
      <c r="K4" s="2">
        <f>(E5*1)+(F5*0.75)+(G5*0.5)+(H5*0.25)</f>
        <v>0</v>
      </c>
      <c r="L4" s="2">
        <f>(E6*1)+(F6*0.75)+(G6*0.5)+(H6*0.25)</f>
        <v>0</v>
      </c>
      <c r="M4" s="2">
        <f>(E7*1)+(F7*0.75)+(G7*0.5)+(H7*0.25)</f>
        <v>0</v>
      </c>
      <c r="N4" s="9">
        <f>(E8*1)+(F8*0.75)+(G8*0.5)+(H8*0.25)</f>
        <v>0</v>
      </c>
      <c r="O4" s="7">
        <f>(E9*1)+(F9*0.75)+(G9*0.5)+(H9*0.25)</f>
        <v>0</v>
      </c>
      <c r="P4" s="7">
        <f>(E10*1)+(F10*0.75)+(G10*0.5)+(H10*0.25)</f>
        <v>0</v>
      </c>
      <c r="Q4" s="7">
        <f>(E11*1)+(F11*0.75)+(G11*0.5)+(H11*0.25)</f>
        <v>0</v>
      </c>
      <c r="R4" s="7">
        <f>(E12*1)+(F12*0.75)+(G12*0.5)+(H12*0.25)</f>
        <v>0</v>
      </c>
      <c r="S4" s="7">
        <f>(E13*1)+(F13*0.75)+(G13*0.5)+(H13*0.25)</f>
        <v>0</v>
      </c>
      <c r="T4" s="7">
        <f>(E14*1)+(F14*0.75)+(G14*0.5)+(H14*0.25)</f>
        <v>0</v>
      </c>
      <c r="U4" s="7">
        <f>(E15*1)+(F15*0.75)+(G15*0.5)+(H15*0.25)</f>
        <v>0</v>
      </c>
      <c r="V4" s="7">
        <f>(E16*1)+(F16*0.75)+(G16*0.5)+(H16*0.25)</f>
        <v>0</v>
      </c>
      <c r="X4" s="14"/>
      <c r="Y4" s="14"/>
    </row>
    <row r="5" spans="1:25" ht="59.25" customHeight="1">
      <c r="A5" s="12">
        <v>1</v>
      </c>
      <c r="B5" s="143" t="s">
        <v>62</v>
      </c>
      <c r="C5" s="143"/>
      <c r="D5" s="143"/>
      <c r="E5" s="13"/>
      <c r="F5" s="2"/>
      <c r="G5" s="2"/>
      <c r="H5" s="4"/>
      <c r="I5" s="148">
        <f>U5</f>
        <v>0</v>
      </c>
      <c r="K5" s="139" t="s">
        <v>42</v>
      </c>
      <c r="L5" s="109"/>
      <c r="M5" s="109"/>
      <c r="N5" s="109"/>
      <c r="O5" s="109"/>
      <c r="P5" s="109"/>
      <c r="Q5" s="109"/>
      <c r="R5" s="109"/>
      <c r="S5" s="109"/>
      <c r="T5" s="110"/>
      <c r="U5" s="142">
        <f>AVERAGE(K4:V4)</f>
        <v>0</v>
      </c>
      <c r="V5" s="110"/>
    </row>
    <row r="6" spans="1:25" ht="45" customHeight="1">
      <c r="A6" s="12">
        <v>2</v>
      </c>
      <c r="B6" s="143" t="s">
        <v>63</v>
      </c>
      <c r="C6" s="143"/>
      <c r="D6" s="143"/>
      <c r="E6" s="13"/>
      <c r="F6" s="2"/>
      <c r="G6" s="2"/>
      <c r="H6" s="4"/>
      <c r="I6" s="148"/>
    </row>
    <row r="7" spans="1:25" ht="43.5" customHeight="1">
      <c r="A7" s="12">
        <v>3</v>
      </c>
      <c r="B7" s="143" t="s">
        <v>64</v>
      </c>
      <c r="C7" s="143"/>
      <c r="D7" s="143"/>
      <c r="E7" s="13"/>
      <c r="F7" s="2"/>
      <c r="G7" s="2"/>
      <c r="H7" s="4"/>
      <c r="I7" s="148"/>
    </row>
    <row r="8" spans="1:25" ht="45" customHeight="1">
      <c r="A8" s="12">
        <v>4</v>
      </c>
      <c r="B8" s="143" t="s">
        <v>65</v>
      </c>
      <c r="C8" s="143"/>
      <c r="D8" s="143"/>
      <c r="E8" s="13"/>
      <c r="F8" s="2"/>
      <c r="G8" s="2"/>
      <c r="H8" s="4"/>
      <c r="I8" s="148"/>
    </row>
    <row r="9" spans="1:25" ht="49.5" customHeight="1">
      <c r="A9" s="12">
        <v>5</v>
      </c>
      <c r="B9" s="143" t="s">
        <v>66</v>
      </c>
      <c r="C9" s="143"/>
      <c r="D9" s="143"/>
      <c r="E9" s="13"/>
      <c r="F9" s="2"/>
      <c r="G9" s="2"/>
      <c r="H9" s="4"/>
      <c r="I9" s="148"/>
    </row>
    <row r="10" spans="1:25" ht="74.25" customHeight="1">
      <c r="A10" s="12">
        <v>6</v>
      </c>
      <c r="B10" s="143" t="s">
        <v>67</v>
      </c>
      <c r="C10" s="143"/>
      <c r="D10" s="143"/>
      <c r="E10" s="13"/>
      <c r="F10" s="2"/>
      <c r="G10" s="2"/>
      <c r="H10" s="4"/>
      <c r="I10" s="148"/>
    </row>
    <row r="11" spans="1:25" ht="41.25" customHeight="1">
      <c r="A11" s="12">
        <v>7</v>
      </c>
      <c r="B11" s="143" t="s">
        <v>68</v>
      </c>
      <c r="C11" s="143"/>
      <c r="D11" s="143"/>
      <c r="E11" s="13"/>
      <c r="F11" s="2"/>
      <c r="G11" s="2"/>
      <c r="H11" s="4"/>
      <c r="I11" s="148"/>
    </row>
    <row r="12" spans="1:25" ht="60" customHeight="1">
      <c r="A12" s="12">
        <v>8</v>
      </c>
      <c r="B12" s="143" t="s">
        <v>69</v>
      </c>
      <c r="C12" s="143"/>
      <c r="D12" s="143"/>
      <c r="E12" s="13"/>
      <c r="F12" s="2"/>
      <c r="G12" s="2"/>
      <c r="H12" s="4"/>
      <c r="I12" s="148"/>
    </row>
    <row r="13" spans="1:25" ht="67.5" customHeight="1">
      <c r="A13" s="12">
        <v>9</v>
      </c>
      <c r="B13" s="143" t="s">
        <v>70</v>
      </c>
      <c r="C13" s="143"/>
      <c r="D13" s="143"/>
      <c r="E13" s="13"/>
      <c r="F13" s="2"/>
      <c r="G13" s="2"/>
      <c r="H13" s="4"/>
      <c r="I13" s="148"/>
    </row>
    <row r="14" spans="1:25" ht="51.75" customHeight="1">
      <c r="A14" s="12">
        <v>10</v>
      </c>
      <c r="B14" s="143" t="s">
        <v>71</v>
      </c>
      <c r="C14" s="143"/>
      <c r="D14" s="143"/>
      <c r="E14" s="13"/>
      <c r="F14" s="2"/>
      <c r="G14" s="2"/>
      <c r="H14" s="4"/>
      <c r="I14" s="148"/>
    </row>
    <row r="15" spans="1:25" ht="57.75" customHeight="1">
      <c r="A15" s="12">
        <v>11</v>
      </c>
      <c r="B15" s="143" t="s">
        <v>72</v>
      </c>
      <c r="C15" s="143"/>
      <c r="D15" s="143"/>
      <c r="E15" s="13"/>
      <c r="F15" s="2"/>
      <c r="G15" s="2"/>
      <c r="H15" s="4"/>
      <c r="I15" s="148"/>
    </row>
    <row r="16" spans="1:25" ht="60.75" customHeight="1">
      <c r="A16" s="12">
        <v>12</v>
      </c>
      <c r="B16" s="143" t="s">
        <v>73</v>
      </c>
      <c r="C16" s="143"/>
      <c r="D16" s="143"/>
      <c r="E16" s="13"/>
      <c r="F16" s="2"/>
      <c r="G16" s="2"/>
      <c r="H16" s="4"/>
      <c r="I16" s="148"/>
    </row>
    <row r="18" spans="5:8">
      <c r="E18" s="36"/>
      <c r="F18" s="36"/>
      <c r="G18" s="36"/>
      <c r="H18" s="36"/>
    </row>
    <row r="19" spans="5:8">
      <c r="E19" s="36"/>
      <c r="F19" s="36"/>
      <c r="G19" s="36"/>
      <c r="H19" s="36"/>
    </row>
    <row r="20" spans="5:8">
      <c r="E20" s="36"/>
      <c r="F20" s="36"/>
      <c r="G20" s="36"/>
      <c r="H20" s="36"/>
    </row>
    <row r="21" spans="5:8" ht="14.45" customHeight="1">
      <c r="E21" s="38"/>
      <c r="F21" s="37"/>
      <c r="G21" s="37"/>
      <c r="H21" s="37"/>
    </row>
    <row r="22" spans="5:8" ht="14.45" customHeight="1">
      <c r="E22" s="37"/>
      <c r="F22" s="37"/>
      <c r="G22" s="37"/>
      <c r="H22" s="37"/>
    </row>
    <row r="23" spans="5:8">
      <c r="E23" s="38"/>
      <c r="F23" s="38"/>
      <c r="G23" s="38"/>
      <c r="H23" s="38"/>
    </row>
    <row r="24" spans="5:8" ht="14.45" customHeight="1">
      <c r="E24" s="38"/>
      <c r="F24" s="38"/>
      <c r="G24" s="38"/>
      <c r="H24" s="38"/>
    </row>
  </sheetData>
  <sheetProtection algorithmName="SHA-512" hashValue="yon3E1FLfFE46yZjqlezSxlsj+ijySUc2QkgntspPza5Yhk2VR1zbdyIsAv+P0YrGm3q3upXDUnzGJAZWRSmmw==" saltValue="KbX87+CLLhijcJ2sGmVGsA==" spinCount="100000" sheet="1" objects="1" scenarios="1"/>
  <protectedRanges>
    <protectedRange sqref="E5:H16" name="RespuestasPR"/>
  </protectedRanges>
  <mergeCells count="27">
    <mergeCell ref="B15:D15"/>
    <mergeCell ref="B16:D16"/>
    <mergeCell ref="H2:H3"/>
    <mergeCell ref="I2:I4"/>
    <mergeCell ref="I5:I16"/>
    <mergeCell ref="E4:H4"/>
    <mergeCell ref="B2:D4"/>
    <mergeCell ref="B5:D5"/>
    <mergeCell ref="B6:D6"/>
    <mergeCell ref="B7:D7"/>
    <mergeCell ref="B8:D8"/>
    <mergeCell ref="B9:D9"/>
    <mergeCell ref="B10:D10"/>
    <mergeCell ref="B11:D11"/>
    <mergeCell ref="B12:D12"/>
    <mergeCell ref="B13:D13"/>
    <mergeCell ref="B14:D14"/>
    <mergeCell ref="E2:E3"/>
    <mergeCell ref="F2:F3"/>
    <mergeCell ref="G2:G3"/>
    <mergeCell ref="A2:A4"/>
    <mergeCell ref="K2:V2"/>
    <mergeCell ref="K3:M3"/>
    <mergeCell ref="P3:Q3"/>
    <mergeCell ref="R3:V3"/>
    <mergeCell ref="K5:T5"/>
    <mergeCell ref="U5:V5"/>
  </mergeCells>
  <dataValidations count="1">
    <dataValidation type="whole" allowBlank="1" showInputMessage="1" showErrorMessage="1" sqref="E5:H16">
      <formula1>0</formula1>
      <formula2>1</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R16"/>
  <sheetViews>
    <sheetView topLeftCell="A4" workbookViewId="0">
      <selection activeCell="H9" sqref="H9"/>
    </sheetView>
  </sheetViews>
  <sheetFormatPr baseColWidth="10" defaultColWidth="8.7109375" defaultRowHeight="15"/>
  <cols>
    <col min="2" max="2" width="28.7109375" customWidth="1"/>
    <col min="3" max="3" width="21.7109375" customWidth="1"/>
    <col min="4" max="4" width="22.42578125" customWidth="1"/>
    <col min="5" max="5" width="15.85546875" customWidth="1"/>
    <col min="6" max="6" width="12.85546875" customWidth="1"/>
    <col min="7" max="7" width="13.42578125" customWidth="1"/>
    <col min="8" max="8" width="15.140625" customWidth="1"/>
    <col min="12" max="15" width="8.7109375" hidden="1" customWidth="1"/>
    <col min="16" max="16" width="6.140625" hidden="1" customWidth="1"/>
  </cols>
  <sheetData>
    <row r="2" spans="1:18">
      <c r="A2" s="134" t="s">
        <v>23</v>
      </c>
      <c r="B2" s="135" t="s">
        <v>24</v>
      </c>
      <c r="C2" s="135"/>
      <c r="D2" s="152"/>
      <c r="E2" s="153" t="s">
        <v>25</v>
      </c>
      <c r="F2" s="153" t="s">
        <v>26</v>
      </c>
      <c r="G2" s="153" t="s">
        <v>27</v>
      </c>
      <c r="H2" s="153" t="s">
        <v>28</v>
      </c>
      <c r="I2" s="164" t="s">
        <v>4</v>
      </c>
    </row>
    <row r="3" spans="1:18">
      <c r="A3" s="134"/>
      <c r="B3" s="135"/>
      <c r="C3" s="135"/>
      <c r="D3" s="152"/>
      <c r="E3" s="154"/>
      <c r="F3" s="154"/>
      <c r="G3" s="154"/>
      <c r="H3" s="154"/>
      <c r="I3" s="165"/>
      <c r="L3" s="158" t="s">
        <v>74</v>
      </c>
      <c r="M3" s="159"/>
      <c r="N3" s="159"/>
      <c r="O3" s="159"/>
      <c r="P3" s="159"/>
    </row>
    <row r="4" spans="1:18">
      <c r="A4" s="134"/>
      <c r="B4" s="135"/>
      <c r="C4" s="135"/>
      <c r="D4" s="152"/>
      <c r="E4" s="166" t="s">
        <v>29</v>
      </c>
      <c r="F4" s="167"/>
      <c r="G4" s="167"/>
      <c r="H4" s="168"/>
      <c r="I4" s="165"/>
      <c r="L4" s="160"/>
      <c r="M4" s="161"/>
      <c r="N4" s="161"/>
      <c r="O4" s="161"/>
      <c r="P4" s="161"/>
    </row>
    <row r="5" spans="1:18" ht="33" customHeight="1">
      <c r="A5" s="1">
        <v>1</v>
      </c>
      <c r="B5" s="169" t="s">
        <v>75</v>
      </c>
      <c r="C5" s="169"/>
      <c r="D5" s="169"/>
      <c r="E5" s="2"/>
      <c r="F5" s="2"/>
      <c r="G5" s="4"/>
      <c r="H5" s="2"/>
      <c r="I5" s="156">
        <f>P7</f>
        <v>0</v>
      </c>
      <c r="L5" s="18" t="s">
        <v>33</v>
      </c>
      <c r="M5" s="10" t="s">
        <v>34</v>
      </c>
      <c r="N5" s="7" t="s">
        <v>35</v>
      </c>
      <c r="O5" s="26" t="s">
        <v>36</v>
      </c>
      <c r="P5" s="7" t="s">
        <v>39</v>
      </c>
    </row>
    <row r="6" spans="1:18" ht="45" customHeight="1">
      <c r="A6" s="1">
        <v>2</v>
      </c>
      <c r="B6" s="170" t="s">
        <v>76</v>
      </c>
      <c r="C6" s="171"/>
      <c r="D6" s="172"/>
      <c r="E6" s="2"/>
      <c r="F6" s="2"/>
      <c r="G6" s="4"/>
      <c r="H6" s="2"/>
      <c r="I6" s="156"/>
      <c r="L6" s="8">
        <f>(E5*1)+(F5*0.75)+(G5*0.5)+(H5*0.25)</f>
        <v>0</v>
      </c>
      <c r="M6" s="8">
        <f>(E6*1)+(F6*0.75)+(G6*0.5)+(H6*0.25)</f>
        <v>0</v>
      </c>
      <c r="N6" s="11">
        <f>(E7*1)+(F7*0.75)+(G7*0.5)+(H7*0.25)</f>
        <v>0</v>
      </c>
      <c r="O6" s="7">
        <f>(E8*1)+(F8*0.75)+(G8*0.5)+(H8*0.25)</f>
        <v>0</v>
      </c>
      <c r="P6" s="7">
        <f>(E9*1)+(F9*0.75)+(G9*0.5)+(H9*0.25)</f>
        <v>0</v>
      </c>
      <c r="Q6" s="14"/>
      <c r="R6" s="14"/>
    </row>
    <row r="7" spans="1:18" ht="58.5" customHeight="1">
      <c r="A7" s="1">
        <v>3</v>
      </c>
      <c r="B7" s="170" t="s">
        <v>77</v>
      </c>
      <c r="C7" s="171"/>
      <c r="D7" s="172"/>
      <c r="E7" s="2"/>
      <c r="F7" s="2"/>
      <c r="G7" s="4"/>
      <c r="H7" s="2"/>
      <c r="I7" s="156"/>
      <c r="L7" s="162" t="s">
        <v>42</v>
      </c>
      <c r="M7" s="163"/>
      <c r="N7" s="159"/>
      <c r="O7" s="163"/>
      <c r="P7" s="155">
        <f>AVERAGE(L6:P6)</f>
        <v>0</v>
      </c>
    </row>
    <row r="8" spans="1:18" ht="58.5" customHeight="1">
      <c r="A8" s="1">
        <v>4</v>
      </c>
      <c r="B8" s="170" t="s">
        <v>78</v>
      </c>
      <c r="C8" s="171"/>
      <c r="D8" s="172"/>
      <c r="E8" s="2"/>
      <c r="F8" s="2"/>
      <c r="G8" s="4"/>
      <c r="H8" s="2"/>
      <c r="I8" s="156"/>
      <c r="L8" s="160"/>
      <c r="M8" s="161"/>
      <c r="N8" s="161"/>
      <c r="O8" s="161"/>
      <c r="P8" s="124"/>
    </row>
    <row r="9" spans="1:18" ht="55.5" customHeight="1">
      <c r="A9" s="1">
        <v>5</v>
      </c>
      <c r="B9" s="170" t="s">
        <v>79</v>
      </c>
      <c r="C9" s="171"/>
      <c r="D9" s="172"/>
      <c r="E9" s="2"/>
      <c r="F9" s="2"/>
      <c r="G9" s="4"/>
      <c r="H9" s="2"/>
      <c r="I9" s="156"/>
    </row>
    <row r="10" spans="1:18" ht="20.25" customHeight="1">
      <c r="I10" s="25"/>
    </row>
    <row r="11" spans="1:18" ht="60.75" customHeight="1">
      <c r="A11" s="23"/>
      <c r="B11" s="24"/>
      <c r="C11" s="24"/>
      <c r="D11" s="24"/>
      <c r="E11" s="36"/>
      <c r="F11" s="36"/>
      <c r="G11" s="36"/>
      <c r="H11" s="36"/>
      <c r="I11" s="25"/>
    </row>
    <row r="12" spans="1:18" ht="44.25" customHeight="1">
      <c r="E12" s="35"/>
      <c r="F12" s="36"/>
      <c r="G12" s="36"/>
      <c r="H12" s="36"/>
      <c r="I12" s="25"/>
    </row>
    <row r="13" spans="1:18" ht="35.25" customHeight="1">
      <c r="E13" s="35"/>
      <c r="F13" s="36"/>
      <c r="G13" s="36"/>
      <c r="H13" s="36"/>
      <c r="I13" s="25"/>
    </row>
    <row r="14" spans="1:18" ht="33" customHeight="1">
      <c r="I14" s="25"/>
    </row>
    <row r="15" spans="1:18">
      <c r="A15" s="15"/>
      <c r="B15" s="157"/>
      <c r="C15" s="157"/>
      <c r="D15" s="157"/>
      <c r="E15" s="16"/>
      <c r="F15" s="16"/>
      <c r="G15" s="16"/>
      <c r="H15" s="16"/>
      <c r="I15" s="17"/>
    </row>
    <row r="16" spans="1:18">
      <c r="A16" s="15"/>
      <c r="B16" s="157"/>
      <c r="C16" s="157"/>
      <c r="D16" s="157"/>
      <c r="E16" s="16"/>
      <c r="F16" s="16"/>
      <c r="G16" s="16"/>
      <c r="H16" s="16"/>
      <c r="I16" s="17"/>
    </row>
  </sheetData>
  <sheetProtection algorithmName="SHA-512" hashValue="HpyQLsU14VEm7ui42AFWAO9E7H7VkM3ARy4aKCHcbN1MYrFrbjxOb809+VBGPxzConVe/vIfYibs1Xb2RLeHaA==" saltValue="FLxrrjSkbAeFxgTKUqNquQ==" spinCount="100000" sheet="1" objects="1" scenarios="1"/>
  <protectedRanges>
    <protectedRange sqref="E5:H9" name="RespuestasME"/>
  </protectedRanges>
  <mergeCells count="19">
    <mergeCell ref="P7:P8"/>
    <mergeCell ref="I5:I9"/>
    <mergeCell ref="B15:D15"/>
    <mergeCell ref="B16:D16"/>
    <mergeCell ref="L3:P4"/>
    <mergeCell ref="L7:O8"/>
    <mergeCell ref="I2:I4"/>
    <mergeCell ref="E4:H4"/>
    <mergeCell ref="B5:D5"/>
    <mergeCell ref="B6:D6"/>
    <mergeCell ref="B7:D7"/>
    <mergeCell ref="B8:D8"/>
    <mergeCell ref="B9:D9"/>
    <mergeCell ref="H2:H3"/>
    <mergeCell ref="A2:A4"/>
    <mergeCell ref="B2:D4"/>
    <mergeCell ref="E2:E3"/>
    <mergeCell ref="F2:F3"/>
    <mergeCell ref="G2:G3"/>
  </mergeCells>
  <dataValidations count="1">
    <dataValidation type="whole" allowBlank="1" showInputMessage="1" showErrorMessage="1" sqref="E5:H9">
      <formula1>0</formula1>
      <formula2>1</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2:U23"/>
  <sheetViews>
    <sheetView topLeftCell="A10" zoomScale="125" workbookViewId="0">
      <selection activeCell="P16" sqref="P16"/>
    </sheetView>
  </sheetViews>
  <sheetFormatPr baseColWidth="10" defaultColWidth="8.7109375" defaultRowHeight="15" customHeight="1"/>
  <cols>
    <col min="3" max="3" width="14.42578125" customWidth="1"/>
    <col min="4" max="4" width="5.85546875" customWidth="1"/>
    <col min="5" max="5" width="11.28515625" customWidth="1"/>
    <col min="6" max="6" width="10.42578125" customWidth="1"/>
  </cols>
  <sheetData>
    <row r="2" spans="1:21" ht="14.45" customHeight="1">
      <c r="A2" s="185" t="s">
        <v>80</v>
      </c>
      <c r="B2" s="186"/>
      <c r="C2" s="186"/>
      <c r="D2" s="186"/>
      <c r="E2" s="186"/>
      <c r="F2" s="186"/>
      <c r="G2" s="186"/>
      <c r="H2" s="187"/>
      <c r="J2" s="199" t="s">
        <v>81</v>
      </c>
      <c r="K2" s="199"/>
      <c r="L2" s="199"/>
      <c r="M2" s="199"/>
      <c r="N2" s="199"/>
      <c r="O2" s="199"/>
      <c r="P2" s="199"/>
      <c r="Q2" s="199"/>
      <c r="R2" s="199"/>
      <c r="S2" s="199"/>
      <c r="T2" s="199"/>
      <c r="U2" s="199"/>
    </row>
    <row r="3" spans="1:21" ht="14.45" customHeight="1">
      <c r="A3" s="188"/>
      <c r="B3" s="189"/>
      <c r="C3" s="189"/>
      <c r="D3" s="189"/>
      <c r="E3" s="189"/>
      <c r="F3" s="189"/>
      <c r="G3" s="189"/>
      <c r="H3" s="190"/>
      <c r="J3" s="199"/>
      <c r="K3" s="199"/>
      <c r="L3" s="199"/>
      <c r="M3" s="199"/>
      <c r="N3" s="199"/>
      <c r="O3" s="199"/>
      <c r="P3" s="199"/>
      <c r="Q3" s="199"/>
      <c r="R3" s="199"/>
      <c r="S3" s="199"/>
      <c r="T3" s="199"/>
      <c r="U3" s="199"/>
    </row>
    <row r="4" spans="1:21" ht="57.75" customHeight="1">
      <c r="A4" s="191" t="s">
        <v>31</v>
      </c>
      <c r="B4" s="192"/>
      <c r="C4" s="193" t="s">
        <v>12</v>
      </c>
      <c r="D4" s="194"/>
      <c r="E4" s="195" t="s">
        <v>15</v>
      </c>
      <c r="F4" s="196"/>
      <c r="G4" s="197" t="s">
        <v>18</v>
      </c>
      <c r="H4" s="198"/>
      <c r="J4" s="203" t="str">
        <f>IF((G7)&lt;=0.5,"Para poder orientarse en cómo puede su empresa generar un compromiso frente a los Derechos Humanos, tenga presente los siguientes seis pasos que puede seguir para obtener una mejor calificación la siguiente vez que se mida:","¡Felicitaciones por el puntaje!")</f>
        <v>Para poder orientarse en cómo puede su empresa generar un compromiso frente a los Derechos Humanos, tenga presente los siguientes seis pasos que puede seguir para obtener una mejor calificación la siguiente vez que se mida:</v>
      </c>
      <c r="K4" s="203"/>
      <c r="L4" s="203"/>
      <c r="M4" s="203"/>
      <c r="N4" s="203"/>
      <c r="O4" s="203"/>
      <c r="P4" s="203"/>
      <c r="Q4" s="203"/>
      <c r="R4" s="203"/>
      <c r="S4" s="203"/>
      <c r="T4" s="203"/>
      <c r="U4" s="203"/>
    </row>
    <row r="5" spans="1:21" ht="21" customHeight="1">
      <c r="A5" s="183">
        <f>'Compromiso institucional'!S8</f>
        <v>0</v>
      </c>
      <c r="B5" s="183"/>
      <c r="C5" s="183">
        <f>'Grupos de interés'!U6</f>
        <v>0</v>
      </c>
      <c r="D5" s="183"/>
      <c r="E5" s="183">
        <f>'Acciones prevención y rep.'!U5</f>
        <v>0</v>
      </c>
      <c r="F5" s="183"/>
      <c r="G5" s="183">
        <f>'Monitoreo y evaluación'!P7</f>
        <v>0</v>
      </c>
      <c r="H5" s="183"/>
      <c r="J5" s="200" t="str">
        <f>IF((G6)&lt;=0.5,"1. Caracterización del entorno de la operación empresarial e identificación de grupos de interés."," ")</f>
        <v>1. Caracterización del entorno de la operación empresarial e identificación de grupos de interés.</v>
      </c>
      <c r="K5" s="200"/>
      <c r="L5" s="200"/>
      <c r="M5" s="200"/>
      <c r="N5" s="200"/>
      <c r="O5" s="200"/>
      <c r="P5" s="200"/>
      <c r="Q5" s="200"/>
      <c r="R5" s="200"/>
      <c r="S5" s="200"/>
      <c r="T5" s="200"/>
      <c r="U5" s="200"/>
    </row>
    <row r="6" spans="1:21" ht="29.25" customHeight="1">
      <c r="A6" s="184"/>
      <c r="B6" s="184"/>
      <c r="C6" s="184"/>
      <c r="D6" s="184"/>
      <c r="E6" s="184"/>
      <c r="F6" s="184"/>
      <c r="G6" s="184"/>
      <c r="H6" s="184"/>
      <c r="J6" s="201" t="str">
        <f>IF((G6)&lt;=0.5,"Esto implica, por una parte, conocer las características del entorno y saber qué personas o grupos de personas pueden verse directa o indirectamente afectados por la actividad empresarial."," ")</f>
        <v>Esto implica, por una parte, conocer las características del entorno y saber qué personas o grupos de personas pueden verse directa o indirectamente afectados por la actividad empresarial.</v>
      </c>
      <c r="K6" s="201"/>
      <c r="L6" s="201"/>
      <c r="M6" s="201"/>
      <c r="N6" s="201"/>
      <c r="O6" s="201"/>
      <c r="P6" s="201"/>
      <c r="Q6" s="201"/>
      <c r="R6" s="201"/>
      <c r="S6" s="201"/>
      <c r="T6" s="201"/>
      <c r="U6" s="201"/>
    </row>
    <row r="7" spans="1:21" ht="33" customHeight="1">
      <c r="A7" s="178" t="s">
        <v>82</v>
      </c>
      <c r="B7" s="179"/>
      <c r="C7" s="179"/>
      <c r="D7" s="179"/>
      <c r="E7" s="179"/>
      <c r="F7" s="180"/>
      <c r="G7" s="142">
        <f>AVERAGE(A5:H5)</f>
        <v>0</v>
      </c>
      <c r="H7" s="177"/>
      <c r="J7" s="200" t="str">
        <f>IF((G7)&lt;=0.5,"2. Identificación de impactos que pueden producirse por la operación de la empresa.","Es particularmente importante que, en la medida de las capacidades y necesidades de la empresa, refuerce especialmente los procesos de monitoreo y evaluación de los Derechos Humanos.")</f>
        <v>2. Identificación de impactos que pueden producirse por la operación de la empresa.</v>
      </c>
      <c r="K7" s="200"/>
      <c r="L7" s="200"/>
      <c r="M7" s="200"/>
      <c r="N7" s="200"/>
      <c r="O7" s="200"/>
      <c r="P7" s="200"/>
      <c r="Q7" s="200"/>
      <c r="R7" s="200"/>
      <c r="S7" s="200"/>
      <c r="T7" s="200"/>
      <c r="U7" s="200"/>
    </row>
    <row r="8" spans="1:21" ht="33" customHeight="1">
      <c r="A8" s="40"/>
      <c r="B8" s="40"/>
      <c r="C8" s="40"/>
      <c r="D8" s="40"/>
      <c r="E8" s="40"/>
      <c r="F8" s="40"/>
      <c r="G8" s="39"/>
      <c r="H8" s="39"/>
      <c r="J8" s="201" t="str">
        <f>IF((G7)&lt;=0.5,"Esto significa conocer qué situaciones relacionadas con vulneraciones a los Derechos Humanos pueden darse producto de la actividad empresarial."," ")</f>
        <v>Esto significa conocer qué situaciones relacionadas con vulneraciones a los Derechos Humanos pueden darse producto de la actividad empresarial.</v>
      </c>
      <c r="K8" s="201"/>
      <c r="L8" s="201"/>
      <c r="M8" s="201"/>
      <c r="N8" s="201"/>
      <c r="O8" s="201"/>
      <c r="P8" s="201"/>
      <c r="Q8" s="201"/>
      <c r="R8" s="201"/>
      <c r="S8" s="201"/>
      <c r="T8" s="201"/>
      <c r="U8" s="201"/>
    </row>
    <row r="9" spans="1:21" ht="34.5" customHeight="1">
      <c r="B9" s="28"/>
      <c r="C9" s="28"/>
      <c r="D9" s="28"/>
      <c r="E9" s="28"/>
      <c r="J9" s="200" t="str">
        <f>IF((G7)&lt;=0.5,"3. Gestión de los impactos identificados, para prevenir, mitigar y/o atender. 
4. Hacer mediciones, para lo cual puede generar indicadores o hacer matrices, entre otras opciones."," ")</f>
        <v>3. Gestión de los impactos identificados, para prevenir, mitigar y/o atender. 
4. Hacer mediciones, para lo cual puede generar indicadores o hacer matrices, entre otras opciones.</v>
      </c>
      <c r="K9" s="200"/>
      <c r="L9" s="200"/>
      <c r="M9" s="200"/>
      <c r="N9" s="200"/>
      <c r="O9" s="200"/>
      <c r="P9" s="200"/>
      <c r="Q9" s="200"/>
      <c r="R9" s="200"/>
      <c r="S9" s="200"/>
      <c r="T9" s="200"/>
      <c r="U9" s="200"/>
    </row>
    <row r="10" spans="1:21" ht="29.25" customHeight="1">
      <c r="B10" s="28"/>
      <c r="C10" s="182" t="s">
        <v>83</v>
      </c>
      <c r="D10" s="182"/>
      <c r="E10" s="28" t="s">
        <v>84</v>
      </c>
      <c r="J10" s="200" t="str">
        <f>IF((G7)&lt;=0.5,"5. Comunicar a los diferentes grupos de interés las acciones que lleva a cabo la empresa frente a los Derechos Humanos. 
6. Reparar a personas cuyos derechos hayan sido vulnerados producto de la operación de la empresa.","Asegúrese de contar con un mecanismo de seguimiento de los Derechos Humanos que se reúna periódicamente, que genere mediciones y que ponga en marcha acciones vinculantes a partir de esas mediciones.")</f>
        <v>5. Comunicar a los diferentes grupos de interés las acciones que lleva a cabo la empresa frente a los Derechos Humanos. 
6. Reparar a personas cuyos derechos hayan sido vulnerados producto de la operación de la empresa.</v>
      </c>
      <c r="K10" s="200"/>
      <c r="L10" s="200"/>
      <c r="M10" s="200"/>
      <c r="N10" s="200"/>
      <c r="O10" s="200"/>
      <c r="P10" s="200"/>
      <c r="Q10" s="200"/>
      <c r="R10" s="200"/>
      <c r="S10" s="200"/>
      <c r="T10" s="200"/>
      <c r="U10" s="200"/>
    </row>
    <row r="11" spans="1:21" ht="64.5" customHeight="1">
      <c r="B11" s="28"/>
      <c r="C11" s="181" t="s">
        <v>31</v>
      </c>
      <c r="D11" s="181"/>
      <c r="E11" s="29">
        <f>A5</f>
        <v>0</v>
      </c>
      <c r="J11" s="201" t="str">
        <f>IF((G7)&lt;=0.5,"Como puede ver, estos seis pasos corresponden a diferentes esferas de la herramienta de autodiagnóstico, cuyas recomendaciones puede consultar para conocer en mayor detalle los diferentes temas que abordan y cómo llevarlos a cabo."," ")</f>
        <v>Como puede ver, estos seis pasos corresponden a diferentes esferas de la herramienta de autodiagnóstico, cuyas recomendaciones puede consultar para conocer en mayor detalle los diferentes temas que abordan y cómo llevarlos a cabo.</v>
      </c>
      <c r="K11" s="201"/>
      <c r="L11" s="201"/>
      <c r="M11" s="201"/>
      <c r="N11" s="201"/>
      <c r="O11" s="201"/>
      <c r="P11" s="201"/>
      <c r="Q11" s="201"/>
      <c r="R11" s="201"/>
      <c r="S11" s="201"/>
      <c r="T11" s="201"/>
      <c r="U11" s="201"/>
    </row>
    <row r="12" spans="1:21" ht="36.75" customHeight="1">
      <c r="B12" s="28"/>
      <c r="C12" s="28" t="s">
        <v>12</v>
      </c>
      <c r="D12" s="28"/>
      <c r="E12" s="29">
        <f>C5</f>
        <v>0</v>
      </c>
      <c r="J12" s="202" t="str">
        <f>IF((G7)&lt;=0.5,"El primer y segundo paso forman parte de la esfera de “Identificación de grupos de interés”.  El tercer y el sexto paso hacen parte de la esfera de “Acciones de prevención y reparación”.","De esta manera, usted podrá sistematizar sus procesos, reforzar su compromiso institucional frente a los Derechos Humanos, comunicar acciones a partir de evidencia y estandarizar procedimientos.
")</f>
        <v>El primer y segundo paso forman parte de la esfera de “Identificación de grupos de interés”.  El tercer y el sexto paso hacen parte de la esfera de “Acciones de prevención y reparación”.</v>
      </c>
      <c r="K12" s="202"/>
      <c r="L12" s="202"/>
      <c r="M12" s="202"/>
      <c r="N12" s="202"/>
      <c r="O12" s="202"/>
      <c r="P12" s="202"/>
      <c r="Q12" s="202"/>
      <c r="R12" s="202"/>
      <c r="S12" s="202"/>
      <c r="T12" s="202"/>
      <c r="U12" s="202"/>
    </row>
    <row r="13" spans="1:21" ht="32.25" customHeight="1">
      <c r="B13" s="28"/>
      <c r="C13" s="28" t="s">
        <v>15</v>
      </c>
      <c r="D13" s="28"/>
      <c r="E13" s="29">
        <f>E5</f>
        <v>0</v>
      </c>
      <c r="J13" s="201" t="str">
        <f>IF((G7)&lt;=0.5,"El cuarto paso hace parte de la esfera de “Monitoreo y evaluación”, mientras que el quinto paso corresponde a la esfera de 'Compromiso Institucional'."," ")</f>
        <v>El cuarto paso hace parte de la esfera de “Monitoreo y evaluación”, mientras que el quinto paso corresponde a la esfera de 'Compromiso Institucional'.</v>
      </c>
      <c r="K13" s="201"/>
      <c r="L13" s="201"/>
      <c r="M13" s="201"/>
      <c r="N13" s="201"/>
      <c r="O13" s="201"/>
      <c r="P13" s="201"/>
      <c r="Q13" s="201"/>
      <c r="R13" s="201"/>
      <c r="S13" s="201"/>
      <c r="T13" s="201"/>
      <c r="U13" s="201"/>
    </row>
    <row r="14" spans="1:21" ht="31.5" customHeight="1">
      <c r="B14" s="28"/>
      <c r="C14" s="28" t="s">
        <v>18</v>
      </c>
      <c r="D14" s="28"/>
      <c r="E14" s="29">
        <f>G5</f>
        <v>0</v>
      </c>
    </row>
    <row r="15" spans="1:21" ht="27.75" customHeight="1">
      <c r="B15" s="28"/>
      <c r="C15" s="28"/>
      <c r="D15" s="28"/>
      <c r="E15" s="28"/>
      <c r="J15" s="94" t="s">
        <v>85</v>
      </c>
      <c r="K15" s="94"/>
      <c r="L15" s="94"/>
      <c r="M15" s="94"/>
      <c r="P15" s="38"/>
      <c r="Q15" s="38"/>
      <c r="R15" s="38"/>
      <c r="S15" s="38"/>
      <c r="T15" s="38"/>
    </row>
    <row r="16" spans="1:21" ht="30" customHeight="1">
      <c r="J16" s="97" t="s">
        <v>86</v>
      </c>
      <c r="K16" s="97"/>
      <c r="L16" s="97"/>
      <c r="M16" s="175" t="s">
        <v>87</v>
      </c>
      <c r="P16" s="38"/>
      <c r="Q16" s="38"/>
      <c r="R16" s="38"/>
      <c r="S16" s="38"/>
      <c r="T16" s="38"/>
    </row>
    <row r="17" spans="10:20" ht="32.25" customHeight="1">
      <c r="J17" s="97"/>
      <c r="K17" s="97"/>
      <c r="L17" s="97"/>
      <c r="M17" s="175"/>
      <c r="P17" s="38"/>
      <c r="Q17" s="38"/>
      <c r="R17" s="38"/>
      <c r="S17" s="38"/>
      <c r="T17" s="38"/>
    </row>
    <row r="18" spans="10:20" ht="35.25" customHeight="1">
      <c r="J18" s="97" t="s">
        <v>88</v>
      </c>
      <c r="K18" s="97"/>
      <c r="L18" s="97"/>
      <c r="M18" s="176" t="s">
        <v>89</v>
      </c>
      <c r="P18" s="38"/>
      <c r="Q18" s="38"/>
      <c r="R18" s="38"/>
      <c r="S18" s="38"/>
      <c r="T18" s="38"/>
    </row>
    <row r="19" spans="10:20">
      <c r="J19" s="97"/>
      <c r="K19" s="97"/>
      <c r="L19" s="97"/>
      <c r="M19" s="176"/>
    </row>
    <row r="20" spans="10:20" ht="15" customHeight="1">
      <c r="J20" s="97" t="s">
        <v>90</v>
      </c>
      <c r="K20" s="97"/>
      <c r="L20" s="97"/>
      <c r="M20" s="173" t="s">
        <v>91</v>
      </c>
    </row>
    <row r="21" spans="10:20" ht="15" customHeight="1">
      <c r="J21" s="97"/>
      <c r="K21" s="97"/>
      <c r="L21" s="97"/>
      <c r="M21" s="173"/>
    </row>
    <row r="22" spans="10:20" ht="15" customHeight="1">
      <c r="J22" s="97" t="s">
        <v>92</v>
      </c>
      <c r="K22" s="97"/>
      <c r="L22" s="97"/>
      <c r="M22" s="174" t="s">
        <v>93</v>
      </c>
    </row>
    <row r="23" spans="10:20" ht="15" customHeight="1">
      <c r="J23" s="97"/>
      <c r="K23" s="97"/>
      <c r="L23" s="97"/>
      <c r="M23" s="174"/>
    </row>
  </sheetData>
  <sheetProtection algorithmName="SHA-512" hashValue="bBI/QacRKvff3xBqDf6qIMlbdL8roXkmugzB3FMM4BkxEgMBWy23lVANpnqHXPDcEc8GXnyrcg8nepjBBvGoNQ==" saltValue="B7q1VgYt/vxzl8V38okRpw==" spinCount="100000" sheet="1" objects="1" scenarios="1"/>
  <mergeCells count="33">
    <mergeCell ref="J2:U3"/>
    <mergeCell ref="J10:U10"/>
    <mergeCell ref="J11:U11"/>
    <mergeCell ref="J12:U12"/>
    <mergeCell ref="J13:U13"/>
    <mergeCell ref="J4:U4"/>
    <mergeCell ref="J7:U7"/>
    <mergeCell ref="J9:U9"/>
    <mergeCell ref="J6:U6"/>
    <mergeCell ref="J5:U5"/>
    <mergeCell ref="J8:U8"/>
    <mergeCell ref="A2:H3"/>
    <mergeCell ref="A4:B4"/>
    <mergeCell ref="C4:D4"/>
    <mergeCell ref="E4:F4"/>
    <mergeCell ref="G4:H4"/>
    <mergeCell ref="G7:H7"/>
    <mergeCell ref="A7:F7"/>
    <mergeCell ref="C11:D11"/>
    <mergeCell ref="C10:D10"/>
    <mergeCell ref="A5:B6"/>
    <mergeCell ref="C5:D6"/>
    <mergeCell ref="E5:F6"/>
    <mergeCell ref="G5:H6"/>
    <mergeCell ref="M20:M21"/>
    <mergeCell ref="M22:M23"/>
    <mergeCell ref="J15:M15"/>
    <mergeCell ref="J16:L17"/>
    <mergeCell ref="J18:L19"/>
    <mergeCell ref="J20:L21"/>
    <mergeCell ref="J22:L23"/>
    <mergeCell ref="M16:M17"/>
    <mergeCell ref="M18:M19"/>
  </mergeCells>
  <conditionalFormatting sqref="A5 C5 E5 G5">
    <cfRule type="cellIs" dxfId="7" priority="1" operator="between">
      <formula>0.0001</formula>
      <formula>0.2501</formula>
    </cfRule>
    <cfRule type="cellIs" dxfId="6" priority="3" operator="greaterThan">
      <formula>0.7501</formula>
    </cfRule>
    <cfRule type="cellIs" dxfId="5" priority="4" operator="between">
      <formula>0.5001</formula>
      <formula>0.75</formula>
    </cfRule>
    <cfRule type="cellIs" dxfId="4" priority="7" operator="between">
      <formula>0.2501</formula>
      <formula>0.5</formula>
    </cfRule>
  </conditionalFormatting>
  <conditionalFormatting sqref="G7:G8">
    <cfRule type="cellIs" dxfId="3" priority="2" operator="between">
      <formula>0.2501</formula>
      <formula>0.5</formula>
    </cfRule>
    <cfRule type="cellIs" dxfId="2" priority="8" operator="between">
      <formula>0.0001</formula>
      <formula>0.2501</formula>
    </cfRule>
  </conditionalFormatting>
  <conditionalFormatting sqref="G7:H8">
    <cfRule type="cellIs" dxfId="1" priority="5" operator="greaterThan">
      <formula>0.7501</formula>
    </cfRule>
    <cfRule type="cellIs" dxfId="0" priority="6" operator="between">
      <formula>0.5001</formula>
      <formula>0.75</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T18"/>
  <sheetViews>
    <sheetView topLeftCell="J1" workbookViewId="0">
      <selection activeCell="M3" sqref="M3:P3"/>
    </sheetView>
  </sheetViews>
  <sheetFormatPr baseColWidth="10" defaultColWidth="8.7109375" defaultRowHeight="15"/>
  <cols>
    <col min="1" max="1" width="18.42578125" customWidth="1"/>
    <col min="2" max="2" width="16" customWidth="1"/>
    <col min="5" max="5" width="18.42578125" customWidth="1"/>
    <col min="6" max="6" width="12.42578125" customWidth="1"/>
    <col min="7" max="7" width="12.28515625" customWidth="1"/>
    <col min="8" max="8" width="10.7109375" customWidth="1"/>
    <col min="9" max="9" width="18.42578125" customWidth="1"/>
    <col min="10" max="10" width="13.85546875" customWidth="1"/>
    <col min="11" max="11" width="12.42578125" customWidth="1"/>
    <col min="13" max="13" width="16.28515625" customWidth="1"/>
    <col min="14" max="14" width="13.7109375" customWidth="1"/>
    <col min="16" max="16" width="11.42578125" customWidth="1"/>
  </cols>
  <sheetData>
    <row r="1" spans="1:20" ht="34.5" customHeight="1">
      <c r="A1" s="216" t="s">
        <v>94</v>
      </c>
      <c r="B1" s="216"/>
      <c r="C1" s="216"/>
      <c r="D1" s="216"/>
      <c r="E1" s="217" t="s">
        <v>95</v>
      </c>
      <c r="F1" s="217"/>
      <c r="G1" s="217"/>
      <c r="H1" s="217"/>
      <c r="I1" s="218" t="s">
        <v>96</v>
      </c>
      <c r="J1" s="218"/>
      <c r="K1" s="218"/>
      <c r="L1" s="218"/>
      <c r="M1" s="213" t="s">
        <v>97</v>
      </c>
      <c r="N1" s="213"/>
      <c r="O1" s="213"/>
      <c r="P1" s="213"/>
    </row>
    <row r="2" spans="1:20" ht="79.5" customHeight="1">
      <c r="A2" s="215" t="str">
        <f>IF((Resultados!A5)&lt;0.5,"La política institucional de una empresa marca la pauta para su actuar, ya que dicta los lineamientos bajo los que se van a desarrollar los procesos internos y externos","-")</f>
        <v>La política institucional de una empresa marca la pauta para su actuar, ya que dicta los lineamientos bajo los que se van a desarrollar los procesos internos y externos</v>
      </c>
      <c r="B2" s="215"/>
      <c r="C2" s="215"/>
      <c r="D2" s="215"/>
      <c r="E2" s="210" t="str">
        <f>IF((Resultados!C5)&lt;0.5,"Lo primordial frente a la esfera de 'Identificación de grupos de interés' es que la empresa conozca el entorno de su operación, cuáles de sus actividades pueden causar impactos sobre los Derechos Humanos y sobre quiénes serían estos impactos","-")</f>
        <v>Lo primordial frente a la esfera de 'Identificación de grupos de interés' es que la empresa conozca el entorno de su operación, cuáles de sus actividades pueden causar impactos sobre los Derechos Humanos y sobre quiénes serían estos impactos</v>
      </c>
      <c r="F2" s="210"/>
      <c r="G2" s="210"/>
      <c r="H2" s="210"/>
      <c r="I2" s="220" t="str">
        <f>IF((Resultados!E5)&lt;0.5,"Es fundamental comprender los proceso de reparación como una estructura que tiene muchas partes, todas claves para su funcionamiento.","-")</f>
        <v>Es fundamental comprender los proceso de reparación como una estructura que tiene muchas partes, todas claves para su funcionamiento.</v>
      </c>
      <c r="J2" s="220"/>
      <c r="K2" s="220"/>
      <c r="L2" s="220"/>
      <c r="M2" s="204" t="str">
        <f>IF((Resultados!G5)&lt;0.5,"Esta esfera asegura que su empresa cuente con algún mecanismo para realizar tareas de monitoreo, seguimiento y evaluación del impacto real y potencial sobre Derechos Humanos.","-")</f>
        <v>Esta esfera asegura que su empresa cuente con algún mecanismo para realizar tareas de monitoreo, seguimiento y evaluación del impacto real y potencial sobre Derechos Humanos.</v>
      </c>
      <c r="N2" s="204"/>
      <c r="O2" s="204"/>
      <c r="P2" s="204"/>
    </row>
    <row r="3" spans="1:20" ht="77.25" customHeight="1">
      <c r="A3" s="214" t="str">
        <f>IF((Resultados!A5)&lt;50%,"y define las expectativas en términos de relacionamiento, toma de decisiones, dinámicas entre pares y desarrollo de procesos estructurales.","-")</f>
        <v>y define las expectativas en términos de relacionamiento, toma de decisiones, dinámicas entre pares y desarrollo de procesos estructurales.</v>
      </c>
      <c r="B3" s="214"/>
      <c r="C3" s="214"/>
      <c r="D3" s="214"/>
      <c r="E3" s="210" t="str">
        <f>IF((Resultados!C5)&lt;0.5,"Esto requiere, primero, un ejercicio de caracterización del contexto en el que opera la empresa e identificación de los diferentes grupos de personas (grupos de interés).","-")</f>
        <v>Esto requiere, primero, un ejercicio de caracterización del contexto en el que opera la empresa e identificación de los diferentes grupos de personas (grupos de interés).</v>
      </c>
      <c r="F3" s="210"/>
      <c r="G3" s="210"/>
      <c r="H3" s="210"/>
      <c r="I3" s="221" t="str">
        <f>IF((Resultados!E5)&lt;0.5,"El centro de la reparación son las garantías de no repetición, las cuales implican una reacción a la vulneración registrada con cambios estructurales que ayuden a mitigar y prevenir que se vuelva a repetir la situación por la que pasó la víctima.","-")</f>
        <v>El centro de la reparación son las garantías de no repetición, las cuales implican una reacción a la vulneración registrada con cambios estructurales que ayuden a mitigar y prevenir que se vuelva a repetir la situación por la que pasó la víctima.</v>
      </c>
      <c r="J3" s="221"/>
      <c r="K3" s="221"/>
      <c r="L3" s="221"/>
      <c r="M3" s="204" t="str">
        <f>IF((Resultados!G5)&lt;0.5,"Dicho mecanismo puede ser la conformación de un grupo de trabajadores que se reúnen periódicamente para revisar casos o temas relacionados con los Derechos Humanos y los procesos que la empresa realiza al respecto.","-")</f>
        <v>Dicho mecanismo puede ser la conformación de un grupo de trabajadores que se reúnen periódicamente para revisar casos o temas relacionados con los Derechos Humanos y los procesos que la empresa realiza al respecto.</v>
      </c>
      <c r="N3" s="204"/>
      <c r="O3" s="204"/>
      <c r="P3" s="204"/>
      <c r="R3" s="21"/>
    </row>
    <row r="4" spans="1:20" ht="72" customHeight="1">
      <c r="A4" s="214" t="str">
        <f>IF((Resultados!A5)&lt;0.5,"El compromiso que una empresa escoja asumir debe ser público y explícito, no sólo en su objetivo sino, también, en su forma de operar.","-")</f>
        <v>El compromiso que una empresa escoja asumir debe ser público y explícito, no sólo en su objetivo sino, también, en su forma de operar.</v>
      </c>
      <c r="B4" s="214"/>
      <c r="C4" s="214"/>
      <c r="D4" s="214"/>
      <c r="E4" s="211" t="str">
        <f>IF((Resultados!C5)&lt;0.5,"Con estos insumos, puede proceder a un análisis sobre posibles riesgos en materia de Derechos Humanos que las actividades de la empresa pueden acarrear sobre el entorno en el que opera y los grupos de interés con los que se relaciona.","-")</f>
        <v>Con estos insumos, puede proceder a un análisis sobre posibles riesgos en materia de Derechos Humanos que las actividades de la empresa pueden acarrear sobre el entorno en el que opera y los grupos de interés con los que se relaciona.</v>
      </c>
      <c r="F4" s="211"/>
      <c r="G4" s="211"/>
      <c r="H4" s="211"/>
      <c r="I4" s="209" t="str">
        <f>IF((Resultados!E5)&lt;0.5,"De manera paralela, debe haber un espacio de diálogo y escucha de las preferencias, necesidades, dificultades y opciones de vida de la víctima.","-")</f>
        <v>De manera paralela, debe haber un espacio de diálogo y escucha de las preferencias, necesidades, dificultades y opciones de vida de la víctima.</v>
      </c>
      <c r="J4" s="209"/>
      <c r="K4" s="209"/>
      <c r="L4" s="209"/>
      <c r="M4" s="205" t="str">
        <f>IF((Resultados!G5)&lt;0.5,"A partir de un mecanismo de seguimiento, su empresa puede empezar a generar mediciones y hacer trazabilidad de los procesos, para contar con evidencia que permita tomar acciones correctivas pertinentes y adecuadas.","-")</f>
        <v>A partir de un mecanismo de seguimiento, su empresa puede empezar a generar mediciones y hacer trazabilidad de los procesos, para contar con evidencia que permita tomar acciones correctivas pertinentes y adecuadas.</v>
      </c>
      <c r="N4" s="205"/>
      <c r="O4" s="205"/>
      <c r="P4" s="205"/>
    </row>
    <row r="5" spans="1:20" ht="59.25" customHeight="1">
      <c r="A5" s="214" t="str">
        <f>IF((Resultados!A5)&lt;0.5,"De esta forma, todos los actores que conforman los procesos productivos comprenden el rol que tienen en la consecusión de los objetivos en materia de Derechos Humanos.","-")</f>
        <v>De esta forma, todos los actores que conforman los procesos productivos comprenden el rol que tienen en la consecusión de los objetivos en materia de Derechos Humanos.</v>
      </c>
      <c r="B5" s="214"/>
      <c r="C5" s="214"/>
      <c r="D5" s="214"/>
      <c r="E5" s="212" t="str">
        <f>IF((Resultados!C5)&lt;0.5,"Así, podrá formular estrategias para prevenir, mitigar y atender los impactos analizados.","-")</f>
        <v>Así, podrá formular estrategias para prevenir, mitigar y atender los impactos analizados.</v>
      </c>
      <c r="F5" s="212"/>
      <c r="G5" s="212"/>
      <c r="H5" s="212"/>
      <c r="I5" s="208" t="str">
        <f>IF((Resultados!E5)&lt;0.5,"Comprender que la reparación no es un proceso estandarizado sino diferencial hace que las acciones propuestas sean más eficientes en su efecto restaurativo, porque son aplicadas al caso concreto de la víctima en cuestión. ","-")</f>
        <v xml:space="preserve">Comprender que la reparación no es un proceso estandarizado sino diferencial hace que las acciones propuestas sean más eficientes en su efecto restaurativo, porque son aplicadas al caso concreto de la víctima en cuestión. </v>
      </c>
      <c r="J5" s="208"/>
      <c r="K5" s="208"/>
      <c r="L5" s="208"/>
      <c r="M5" s="206" t="str">
        <f>IF((Resultados!G5)&lt;0.5,"También puede generar una documentación de todo el proceso para fortalecer su compromiso en la defensa y garantía de los Derechos Humanos e incluir capacitaciones al personal de la empresa.","-")</f>
        <v>También puede generar una documentación de todo el proceso para fortalecer su compromiso en la defensa y garantía de los Derechos Humanos e incluir capacitaciones al personal de la empresa.</v>
      </c>
      <c r="N5" s="206"/>
      <c r="O5" s="206"/>
      <c r="P5" s="206"/>
      <c r="T5" s="20"/>
    </row>
    <row r="6" spans="1:20" ht="57.75" customHeight="1">
      <c r="A6" s="214" t="str">
        <f>IF((Resultados!A5)&lt;0.5,"Al plantearse como una meta común, desde las acciones del día a día hasta los espacios decisorios tendrán como criterio central el respeto de los Derechos Humanos.","-")</f>
        <v>Al plantearse como una meta común, desde las acciones del día a día hasta los espacios decisorios tendrán como criterio central el respeto de los Derechos Humanos.</v>
      </c>
      <c r="B6" s="214"/>
      <c r="C6" s="214"/>
      <c r="D6" s="214"/>
      <c r="E6" s="211" t="str">
        <f>IF((Resultados!C5)&lt;0.5,"Más adelante, podrá también crear mecanismos de consulta y participación para fortalecer sus procesos en materia de Derechos Humanos con la retroalimentación que los grupos de interés pueden ofrecer.","-")</f>
        <v>Más adelante, podrá también crear mecanismos de consulta y participación para fortalecer sus procesos en materia de Derechos Humanos con la retroalimentación que los grupos de interés pueden ofrecer.</v>
      </c>
      <c r="F6" s="211"/>
      <c r="G6" s="211"/>
      <c r="H6" s="211"/>
      <c r="I6" s="208" t="str">
        <f>IF((Resultados!E5)&lt;0.5,"Finalmente, para llegar a la reparación es clave tener un mecanismo de denuncias que sea accesible a todos los sectores sociales que se puedan ver afectados o puedan ser testigos de una vulneración, que sea seguro para quien","-")</f>
        <v>Finalmente, para llegar a la reparación es clave tener un mecanismo de denuncias que sea accesible a todos los sectores sociales que se puedan ver afectados o puedan ser testigos de una vulneración, que sea seguro para quien</v>
      </c>
      <c r="J6" s="208"/>
      <c r="K6" s="208"/>
      <c r="L6" s="208"/>
      <c r="M6" s="207"/>
      <c r="N6" s="207"/>
      <c r="O6" s="207"/>
      <c r="P6" s="207"/>
    </row>
    <row r="7" spans="1:20" ht="60.75" customHeight="1">
      <c r="A7" s="214" t="str">
        <f>IF((Resultados!A5)&lt;0.5,"Esta mentalidad de respeto colectivo que viene del compromiso institucional debe verse reflejada en la selección de proveedores y aliados con quienes se realiza trabajo conjunto ya que, siendo estos actores extensiones","-")</f>
        <v>Esta mentalidad de respeto colectivo que viene del compromiso institucional debe verse reflejada en la selección de proveedores y aliados con quienes se realiza trabajo conjunto ya que, siendo estos actores extensiones</v>
      </c>
      <c r="B7" s="214"/>
      <c r="C7" s="214"/>
      <c r="D7" s="214"/>
      <c r="E7" s="211" t="str">
        <f>IF((Resultados!C5)&lt;0.5,"Recuerde asesorarse con la Defensoría del Pueblo acerca de los diferentes derechos que puede afectar para sus trabajadores, clientes/consumidores, comunidad y demás grupos de interés con los que se relacione.","-")</f>
        <v>Recuerde asesorarse con la Defensoría del Pueblo acerca de los diferentes derechos que puede afectar para sus trabajadores, clientes/consumidores, comunidad y demás grupos de interés con los que se relacione.</v>
      </c>
      <c r="F7" s="211"/>
      <c r="G7" s="211"/>
      <c r="H7" s="211"/>
      <c r="I7" s="209" t="str">
        <f>IF((Resultados!E5)&lt;0.5,"denuncia y que genere efectivamente cambios en favor de la protección de los Derechos Humanos.","-")</f>
        <v>denuncia y que genere efectivamente cambios en favor de la protección de los Derechos Humanos.</v>
      </c>
      <c r="J7" s="209"/>
      <c r="K7" s="209"/>
      <c r="L7" s="209"/>
    </row>
    <row r="8" spans="1:20" ht="64.5" customHeight="1">
      <c r="A8" s="214" t="str">
        <f>IF((Resultados!A5)&lt;0.5,"de la operación de la empresa, es fundamental que contribuyan a los objetivos de corto, medio y largo plazo en pro de los Derechos Humanos.","-")</f>
        <v>de la operación de la empresa, es fundamental que contribuyan a los objetivos de corto, medio y largo plazo en pro de los Derechos Humanos.</v>
      </c>
      <c r="B8" s="214"/>
      <c r="C8" s="214"/>
      <c r="D8" s="214"/>
      <c r="E8" s="219" t="str">
        <f>IF((Resultados!C5)&lt;0.5,"Sea abierto, inclusivo y transparente en su comunicación con otros actores. La Delegada para los Derechos Económicos, Sociales y Culturales recibe inquietudes a través del correo electrónico delegada_desc@defensoria.gov.co.	","-")</f>
        <v xml:space="preserve">Sea abierto, inclusivo y transparente en su comunicación con otros actores. La Delegada para los Derechos Económicos, Sociales y Culturales recibe inquietudes a través del correo electrónico delegada_desc@defensoria.gov.co.	</v>
      </c>
      <c r="F8" s="219"/>
      <c r="G8" s="219"/>
      <c r="H8" s="219"/>
    </row>
    <row r="9" spans="1:20">
      <c r="A9" s="19"/>
      <c r="B9" s="19"/>
      <c r="C9" s="19"/>
      <c r="D9" s="19"/>
    </row>
    <row r="10" spans="1:20">
      <c r="A10" s="19"/>
      <c r="B10" s="19"/>
      <c r="C10" s="19"/>
      <c r="D10" s="19"/>
    </row>
    <row r="11" spans="1:20">
      <c r="A11" s="19"/>
      <c r="B11" s="19"/>
      <c r="C11" s="19"/>
      <c r="D11" s="19"/>
    </row>
    <row r="12" spans="1:20">
      <c r="A12" s="19"/>
      <c r="B12" s="19"/>
      <c r="C12" s="19"/>
      <c r="D12" s="19"/>
    </row>
    <row r="13" spans="1:20">
      <c r="A13" s="19"/>
      <c r="B13" s="19"/>
      <c r="C13" s="19"/>
      <c r="D13" s="19"/>
    </row>
    <row r="14" spans="1:20">
      <c r="A14" s="19"/>
      <c r="B14" s="19"/>
      <c r="C14" s="19"/>
      <c r="D14" s="19"/>
    </row>
    <row r="15" spans="1:20">
      <c r="A15" s="19"/>
      <c r="B15" s="19"/>
      <c r="C15" s="19"/>
      <c r="D15" s="19"/>
    </row>
    <row r="16" spans="1:20">
      <c r="A16" s="19"/>
      <c r="B16" s="19"/>
      <c r="C16" s="19"/>
      <c r="D16" s="19"/>
    </row>
    <row r="17" spans="1:4">
      <c r="A17" s="19"/>
      <c r="B17" s="19"/>
      <c r="C17" s="19"/>
      <c r="D17" s="19"/>
    </row>
    <row r="18" spans="1:4">
      <c r="A18" s="19"/>
      <c r="B18" s="19"/>
      <c r="C18" s="19"/>
      <c r="D18" s="19"/>
    </row>
  </sheetData>
  <sheetProtection algorithmName="SHA-512" hashValue="X3d/DKrDZvtgk18gUbN+AqjXRoAsUKdnYUvdBJpCSSo4Fel0QdZtC8YpJDh1vGsVdp0yY7XPK04HggemNwpSIw==" saltValue="gX8M4CYLqbLTUm0ECzDn/g==" spinCount="100000" sheet="1" objects="1" scenarios="1"/>
  <protectedRanges>
    <protectedRange algorithmName="SHA-512" hashValue="Wogapvhv+54zW8RafrrAIP3WBOPTIhgBIOPqzUacBXLTdm4xjQd0DpVd4JNQdX5gmqO660LnIFk+KNwu96fP7A==" saltValue="yh3unz2/GXWMIk8jzDLxng==" spinCount="100000" sqref="A1:P8" name="Recomendaciones estructurales"/>
  </protectedRanges>
  <mergeCells count="29">
    <mergeCell ref="M1:P1"/>
    <mergeCell ref="A8:D8"/>
    <mergeCell ref="A2:D2"/>
    <mergeCell ref="A1:D1"/>
    <mergeCell ref="E1:H1"/>
    <mergeCell ref="I1:L1"/>
    <mergeCell ref="A3:D3"/>
    <mergeCell ref="A4:D4"/>
    <mergeCell ref="A5:D5"/>
    <mergeCell ref="A6:D6"/>
    <mergeCell ref="A7:D7"/>
    <mergeCell ref="E8:H8"/>
    <mergeCell ref="I2:L2"/>
    <mergeCell ref="I3:L3"/>
    <mergeCell ref="I4:L4"/>
    <mergeCell ref="I5:L5"/>
    <mergeCell ref="I6:L6"/>
    <mergeCell ref="I7:L7"/>
    <mergeCell ref="E2:H2"/>
    <mergeCell ref="E3:H3"/>
    <mergeCell ref="E4:H4"/>
    <mergeCell ref="E5:H5"/>
    <mergeCell ref="E6:H6"/>
    <mergeCell ref="E7:H7"/>
    <mergeCell ref="M2:P2"/>
    <mergeCell ref="M3:P3"/>
    <mergeCell ref="M4:P4"/>
    <mergeCell ref="M5:P5"/>
    <mergeCell ref="M6:P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T43"/>
  <sheetViews>
    <sheetView topLeftCell="C1" workbookViewId="0">
      <selection activeCell="A3" sqref="A3:D3"/>
    </sheetView>
  </sheetViews>
  <sheetFormatPr baseColWidth="10" defaultColWidth="8.7109375" defaultRowHeight="15"/>
  <cols>
    <col min="1" max="1" width="18.42578125" customWidth="1"/>
    <col min="2" max="2" width="16" customWidth="1"/>
    <col min="4" max="4" width="11.140625" customWidth="1"/>
    <col min="5" max="5" width="18.42578125" customWidth="1"/>
    <col min="6" max="6" width="12.42578125" customWidth="1"/>
    <col min="7" max="7" width="12.28515625" customWidth="1"/>
    <col min="8" max="8" width="10.7109375" customWidth="1"/>
    <col min="9" max="9" width="18.42578125" customWidth="1"/>
    <col min="10" max="10" width="13.85546875" customWidth="1"/>
    <col min="11" max="11" width="12.42578125" customWidth="1"/>
    <col min="13" max="13" width="16.28515625" customWidth="1"/>
    <col min="14" max="14" width="13.7109375" customWidth="1"/>
    <col min="16" max="16" width="11.42578125" customWidth="1"/>
  </cols>
  <sheetData>
    <row r="1" spans="1:20" ht="34.5" customHeight="1" thickBot="1">
      <c r="A1" s="216" t="s">
        <v>94</v>
      </c>
      <c r="B1" s="216"/>
      <c r="C1" s="216"/>
      <c r="D1" s="216"/>
      <c r="E1" s="217" t="s">
        <v>95</v>
      </c>
      <c r="F1" s="217"/>
      <c r="G1" s="217"/>
      <c r="H1" s="217"/>
      <c r="I1" s="218" t="s">
        <v>96</v>
      </c>
      <c r="J1" s="218"/>
      <c r="K1" s="218"/>
      <c r="L1" s="218"/>
      <c r="M1" s="213" t="s">
        <v>97</v>
      </c>
      <c r="N1" s="213"/>
      <c r="O1" s="213"/>
      <c r="P1" s="213"/>
    </row>
    <row r="2" spans="1:20" ht="77.25" customHeight="1">
      <c r="A2" s="222" t="str">
        <f>IF(('Compromiso institucional'!K7)&lt;=0.5,"La política institucional dicta los lineamientos bajo los cuales opera una empresa. No sólo define qué se puede hacer y cómo, sino, también, qué camino se debe tomar con los cambios que se hagan en el tiempo.","-")</f>
        <v>La política institucional dicta los lineamientos bajo los cuales opera una empresa. No sólo define qué se puede hacer y cómo, sino, también, qué camino se debe tomar con los cambios que se hagan en el tiempo.</v>
      </c>
      <c r="B2" s="223"/>
      <c r="C2" s="223"/>
      <c r="D2" s="223"/>
      <c r="E2" s="247" t="str">
        <f>IF(('Grupos de interés'!K5)&lt;=0.5,"El ejercicio de caracterización y análisis del entorno de operación empresarial consta de dos partes. En primer lugar, es necesario reconocer el sector económico al que hace parte la empresa y si está ubicada dentro de una cadena de suministro.","-")</f>
        <v>El ejercicio de caracterización y análisis del entorno de operación empresarial consta de dos partes. En primer lugar, es necesario reconocer el sector económico al que hace parte la empresa y si está ubicada dentro de una cadena de suministro.</v>
      </c>
      <c r="F2" s="248"/>
      <c r="G2" s="248"/>
      <c r="H2" s="248"/>
      <c r="I2" s="249" t="str">
        <f>IF(('Acciones prevención y rep.'!K4)&lt;=0.5,"Una buena forma de tramitar los casos de vulneración a los DDHH y gestionar su reparación y posterior proceso de mitigación y prevención es la creación de mecanismos de denuncia.","-")</f>
        <v>Una buena forma de tramitar los casos de vulneración a los DDHH y gestionar su reparación y posterior proceso de mitigación y prevención es la creación de mecanismos de denuncia.</v>
      </c>
      <c r="J2" s="250"/>
      <c r="K2" s="250"/>
      <c r="L2" s="250"/>
      <c r="M2" s="251" t="str">
        <f>IF(('Monitoreo y evaluación'!L6)&lt;=0.5,"Para hacer seguimiento de los casos de vulneración de DDHH y gestionar todas las estrategias y acciones correspondientes, es importante conformar un comité o grupo de trabajadores que periódicamente se reúnan a revisar estos casos.","-")</f>
        <v>Para hacer seguimiento de los casos de vulneración de DDHH y gestionar todas las estrategias y acciones correspondientes, es importante conformar un comité o grupo de trabajadores que periódicamente se reúnan a revisar estos casos.</v>
      </c>
      <c r="N2" s="252"/>
      <c r="O2" s="252"/>
      <c r="P2" s="253"/>
    </row>
    <row r="3" spans="1:20" ht="45" customHeight="1">
      <c r="A3" s="255" t="str">
        <f>IF(('Compromiso institucional'!K7)&lt;=0.5,"Una política explícitamente comprometida con los DDHH debe asegurarse de tener en el centro de sus procesos decisorios el respecto de los Derechos Humanos, de tal forma que los","-")</f>
        <v>Una política explícitamente comprometida con los DDHH debe asegurarse de tener en el centro de sus procesos decisorios el respecto de los Derechos Humanos, de tal forma que los</v>
      </c>
      <c r="B3" s="256"/>
      <c r="C3" s="256"/>
      <c r="D3" s="257"/>
      <c r="E3" s="260" t="str">
        <f>IF(('Grupos de interés'!K5)&lt;=0.5,"Esto permite determinar cuáles son las actividades empresariales específicas y si se hace parte de procesos de defensa y garantía de DDHH globales dentro de la cadena de suministro. ","-")</f>
        <v xml:space="preserve">Esto permite determinar cuáles son las actividades empresariales específicas y si se hace parte de procesos de defensa y garantía de DDHH globales dentro de la cadena de suministro. </v>
      </c>
      <c r="F3" s="210"/>
      <c r="G3" s="210"/>
      <c r="H3" s="261"/>
      <c r="I3" s="313" t="str">
        <f>IF(('Acciones prevención y rep.'!K4)&lt;=0.5,"Estos mecanismos deben ser un instrumento de ayuda para quienes denuncian y no un obstáculo más. Los mecanismos","-")</f>
        <v>Estos mecanismos deben ser un instrumento de ayuda para quienes denuncian y no un obstáculo más. Los mecanismos</v>
      </c>
      <c r="J3" s="314"/>
      <c r="K3" s="314"/>
      <c r="L3" s="315"/>
      <c r="M3" s="258" t="str">
        <f>IF(('Monitoreo y evaluación'!L6)&lt;=0.5,"Estas reuniones periódicas deben servir para hacer una trazabilidad de los procesos y generar mediciones (estadísticas, información cualitativa, buenas prácticas, lecciones aprendidas, etc.) de los procesos de la empresa en esta materia.","-")</f>
        <v>Estas reuniones periódicas deben servir para hacer una trazabilidad de los procesos y generar mediciones (estadísticas, información cualitativa, buenas prácticas, lecciones aprendidas, etc.) de los procesos de la empresa en esta materia.</v>
      </c>
      <c r="N3" s="206"/>
      <c r="O3" s="206"/>
      <c r="P3" s="259"/>
    </row>
    <row r="4" spans="1:20" ht="44.25" customHeight="1">
      <c r="A4" s="230" t="str">
        <f>IF(('Compromiso institucional'!K7)&lt;=0.5,"cambios en todo nivel pueda priorizar este aspecto antes que otros resultados que puedan generar vulneraciones de derechos.","-")</f>
        <v>cambios en todo nivel pueda priorizar este aspecto antes que otros resultados que puedan generar vulneraciones de derechos.</v>
      </c>
      <c r="B4" s="214"/>
      <c r="C4" s="214"/>
      <c r="D4" s="254"/>
      <c r="E4" s="210"/>
      <c r="F4" s="210"/>
      <c r="G4" s="210"/>
      <c r="H4" s="261"/>
      <c r="I4" s="229" t="str">
        <f>IF(('Acciones prevención y rep.'!K4)&lt;=0.5,"muchas veces tienen formatos que, por el lenguaje que usan y las preguntas que incluyen, discriminan al usuario. Adicionalmente, muchas veces no cuentan con un enfoque","-")</f>
        <v>muchas veces tienen formatos que, por el lenguaje que usan y las preguntas que incluyen, discriminan al usuario. Adicionalmente, muchas veces no cuentan con un enfoque</v>
      </c>
      <c r="J4" s="209"/>
      <c r="K4" s="209"/>
      <c r="L4" s="209"/>
      <c r="M4" s="240" t="str">
        <f>IF(('Monitoreo y evaluación'!L6)&lt;=0.5,"lecciones aprendidas, etc.) de los procesos de la empresa en esta materia.","-")</f>
        <v>lecciones aprendidas, etc.) de los procesos de la empresa en esta materia.</v>
      </c>
      <c r="N4" s="241"/>
      <c r="O4" s="241"/>
      <c r="P4" s="242"/>
      <c r="R4" s="21"/>
    </row>
    <row r="5" spans="1:20" ht="63.75" customHeight="1">
      <c r="A5" s="222" t="str">
        <f>IF(('Compromiso institucional'!L7)&lt;=0.5,"Para poner en marcha el compromiso por el respeto de los DDHH en los procesos empresariales es fundamental que se establezca una hoja de ruta en la que se especifique cómo los procesos y la cultura de la empresa se ajustan a este fin.","-")</f>
        <v>Para poner en marcha el compromiso por el respeto de los DDHH en los procesos empresariales es fundamental que se establezca una hoja de ruta en la que se especifique cómo los procesos y la cultura de la empresa se ajustan a este fin.</v>
      </c>
      <c r="B5" s="223"/>
      <c r="C5" s="223"/>
      <c r="D5" s="223"/>
      <c r="E5" s="227" t="str">
        <f>IF(('Grupos de interés'!K5)&lt;=0.5,"En segundo lugar, se debe ubicar el contexto geográfico específico en el que opera la empresa e identificar qué comunidades aledañas viven allí.","-")</f>
        <v>En segundo lugar, se debe ubicar el contexto geográfico específico en el que opera la empresa e identificar qué comunidades aledañas viven allí.</v>
      </c>
      <c r="F5" s="228"/>
      <c r="G5" s="228"/>
      <c r="H5" s="228"/>
      <c r="I5" s="229" t="str">
        <f>IF(('Acciones prevención y rep.'!K4)&lt;=0.5,"interseccional para recoger información y terminan levantando denuncias muy generales que, de ser resueltas, llevan a soluciones con poco impacto.","-")</f>
        <v>interseccional para recoger información y terminan levantando denuncias muy generales que, de ser resueltas, llevan a soluciones con poco impacto.</v>
      </c>
      <c r="J5" s="209"/>
      <c r="K5" s="209"/>
      <c r="L5" s="209"/>
      <c r="M5" s="235" t="str">
        <f>IF(('Monitoreo y evaluación'!L6)&lt;=0.5,"Este grupo velará por el efectivo cumplimiento de la empresa en cuanto a la atención, reparación y garantías de no-repetición para las víctimas, así como en la implementación de estrategias de prevención y","-")</f>
        <v>Este grupo velará por el efectivo cumplimiento de la empresa en cuanto a la atención, reparación y garantías de no-repetición para las víctimas, así como en la implementación de estrategias de prevención y</v>
      </c>
      <c r="N5" s="236"/>
      <c r="O5" s="236"/>
      <c r="P5" s="237"/>
    </row>
    <row r="6" spans="1:20" ht="61.5" customHeight="1">
      <c r="A6" s="230" t="str">
        <f>IF(('Compromiso institucional'!L7)&lt;=0.5,"El plan que se determine debe establecer cómo deben ser las relaciones entre actores, a nivel interno y externo, quiénes tienen responsabilidades específicas para dar cumplimiento al plan y los objetivos a corto, medio y largo plazo.","-")</f>
        <v>El plan que se determine debe establecer cómo deben ser las relaciones entre actores, a nivel interno y externo, quiénes tienen responsabilidades específicas para dar cumplimiento al plan y los objetivos a corto, medio y largo plazo.</v>
      </c>
      <c r="B6" s="214"/>
      <c r="C6" s="214"/>
      <c r="D6" s="214"/>
      <c r="E6" s="227" t="str">
        <f>IF(('Grupos de interés'!K5)&lt;=0.5,"Estas comunidades podrían ser afectadas por la empresa si su actividad productiva implica impactos sobre el entorno y el medio ambiente (ruido, afectación del espacio público y la movilidad, contaminación, entre otros).","-")</f>
        <v>Estas comunidades podrían ser afectadas por la empresa si su actividad productiva implica impactos sobre el entorno y el medio ambiente (ruido, afectación del espacio público y la movilidad, contaminación, entre otros).</v>
      </c>
      <c r="F6" s="228"/>
      <c r="G6" s="228"/>
      <c r="H6" s="228"/>
      <c r="I6" s="238" t="str">
        <f>IF(('Acciones prevención y rep.'!L4)&lt;=0.5,"Una de las razones por las que las denuncias no se llevan a cabo es por el temor de quienes la van a interponer de ser castigados posteriormente por proveer información sobre un par o superior que actuó de manera errónea.","-")</f>
        <v>Una de las razones por las que las denuncias no se llevan a cabo es por el temor de quienes la van a interponer de ser castigados posteriormente por proveer información sobre un par o superior que actuó de manera errónea.</v>
      </c>
      <c r="J6" s="239"/>
      <c r="K6" s="239"/>
      <c r="L6" s="239"/>
      <c r="M6" s="240" t="str">
        <f>IF(('Monitoreo y evaluación'!L6)&lt;=0.5,"mitigación de riesgos, la comunicación de acciones en materia de DDHH, las capacitaciones al personal de la empresa en temas de DDHH y el cumplimiento de los estándares establecidos.","-")</f>
        <v>mitigación de riesgos, la comunicación de acciones en materia de DDHH, las capacitaciones al personal de la empresa en temas de DDHH y el cumplimiento de los estándares establecidos.</v>
      </c>
      <c r="N6" s="241"/>
      <c r="O6" s="241"/>
      <c r="P6" s="242"/>
      <c r="T6" s="20"/>
    </row>
    <row r="7" spans="1:20" ht="77.25" customHeight="1" thickBot="1">
      <c r="A7" s="222" t="str">
        <f>IF(('Compromiso institucional'!M7)&lt;=0.5,"Dentro de la política institucional debe haber una sección o anexo específico que haga las veces de Código de comportamiento en el que se establezca la forma en la que los procesos con terceros, como proveedores o aliados, tengan el","-")</f>
        <v>Dentro de la política institucional debe haber una sección o anexo específico que haga las veces de Código de comportamiento en el que se establezca la forma en la que los procesos con terceros, como proveedores o aliados, tengan el</v>
      </c>
      <c r="B7" s="223"/>
      <c r="C7" s="223"/>
      <c r="D7" s="223"/>
      <c r="E7" s="227" t="str">
        <f>IF(('Grupos de interés'!K5)&lt;=0.5,"Las empresas pueden elaborar un mapa de contexto para ubicar geográficamente a las comunidades aledañas y los puntos de potencial impacto sobre los DDHH producto de su actividad empresarial.","-")</f>
        <v>Las empresas pueden elaborar un mapa de contexto para ubicar geográficamente a las comunidades aledañas y los puntos de potencial impacto sobre los DDHH producto de su actividad empresarial.</v>
      </c>
      <c r="F7" s="228"/>
      <c r="G7" s="228"/>
      <c r="H7" s="228"/>
      <c r="I7" s="243" t="str">
        <f>IF(('Acciones prevención y rep.'!L4)&lt;=0.5,"Para esta problemática, es clave garantizar la confidencialidad del instrumento y, posteriormente, del proceso en el cual va a estar sometida la persona que denunció.","-")</f>
        <v>Para esta problemática, es clave garantizar la confidencialidad del instrumento y, posteriormente, del proceso en el cual va a estar sometida la persona que denunció.</v>
      </c>
      <c r="J7" s="221"/>
      <c r="K7" s="221"/>
      <c r="L7" s="221"/>
      <c r="M7" s="244" t="str">
        <f>IF(('Monitoreo y evaluación'!M6)&lt;=0.5,"Cuando cuente con un mecanismo de seguimiento y gestión de casos y procesos de DDHH, bríndele las","-")</f>
        <v>Cuando cuente con un mecanismo de seguimiento y gestión de casos y procesos de DDHH, bríndele las</v>
      </c>
      <c r="N7" s="245"/>
      <c r="O7" s="245"/>
      <c r="P7" s="246"/>
    </row>
    <row r="8" spans="1:20" ht="73.5" customHeight="1" thickBot="1">
      <c r="A8" s="230" t="str">
        <f>IF(('Compromiso institucional'!M7)&lt;=0.5,"repeto de los DDHH como centro de sus decisiones operativas. Para el funcionamiento óptimo es clave que se establezcan las responsabilidades de monitoreo de estos procesos y de reporte de los mismos por parte de los proveedores o aliados.","-")</f>
        <v>repeto de los DDHH como centro de sus decisiones operativas. Para el funcionamiento óptimo es clave que se establezcan las responsabilidades de monitoreo de estos procesos y de reporte de los mismos por parte de los proveedores o aliados.</v>
      </c>
      <c r="B8" s="214"/>
      <c r="C8" s="214"/>
      <c r="D8" s="214"/>
      <c r="E8" s="231" t="str">
        <f>IF(('Grupos de interés'!L5)&lt;=0.5,"Con el mapa de contexto obtenido del ejercicio de caracterización y análisis del entorno de la operación empresarial, se pueden relacionar los siguientes aspectos: sector económico de la empresa, cadena de suministro, ","-")</f>
        <v xml:space="preserve">Con el mapa de contexto obtenido del ejercicio de caracterización y análisis del entorno de la operación empresarial, se pueden relacionar los siguientes aspectos: sector económico de la empresa, cadena de suministro, </v>
      </c>
      <c r="F8" s="232"/>
      <c r="G8" s="232"/>
      <c r="H8" s="232"/>
      <c r="I8" s="233" t="str">
        <f>IF(('Acciones prevención y rep.'!L4)&lt;=0.5,"En ningún caso la denuncia puede tener consecuencias negativas a nivel personal o laboral para la víctima. Si esto sucede, el mecanismo de defensa pierde toda legitimidad y utilidad.","-")</f>
        <v>En ningún caso la denuncia puede tener consecuencias negativas a nivel personal o laboral para la víctima. Si esto sucede, el mecanismo de defensa pierde toda legitimidad y utilidad.</v>
      </c>
      <c r="J8" s="234"/>
      <c r="K8" s="234"/>
      <c r="L8" s="234"/>
      <c r="M8" s="294" t="str">
        <f>IF(('Monitoreo y evaluación'!M6)&lt;=0.5,"capacidades necesarias para que pueda generar acciones correctivas (cuando se necesiten) y para que trace estrategias de prevención de vulneración de DDHH.","-")</f>
        <v>capacidades necesarias para que pueda generar acciones correctivas (cuando se necesiten) y para que trace estrategias de prevención de vulneración de DDHH.</v>
      </c>
      <c r="N8" s="295"/>
      <c r="O8" s="295"/>
      <c r="P8" s="296"/>
    </row>
    <row r="9" spans="1:20" ht="77.25" customHeight="1">
      <c r="A9" s="222" t="str">
        <f>IF(('Compromiso institucional'!N7)&lt;=0.5,"Los proveedores de servicios que hacen parte de la cadena de suministro tienen una gran participación en la implementación del actuar responsable de la empresa con la que colaboran. Esta tiene la potestad de fijar expectativas que reflejen","-")</f>
        <v>Los proveedores de servicios que hacen parte de la cadena de suministro tienen una gran participación en la implementación del actuar responsable de la empresa con la que colaboran. Esta tiene la potestad de fijar expectativas que reflejen</v>
      </c>
      <c r="B9" s="223"/>
      <c r="C9" s="223"/>
      <c r="D9" s="223"/>
      <c r="E9" s="275" t="str">
        <f>IF(('Grupos de interés'!L5)&lt;=0.5,"contexto de operación, comunidades aledañas y posibles afectaciones a los DDHH. Cuando se tiene clara la relación entre los aspectos antes mencionados, se puede determinar qué actividades de la empresa son susceptibles de vulnerar los DDHH.","-")</f>
        <v>contexto de operación, comunidades aledañas y posibles afectaciones a los DDHH. Cuando se tiene clara la relación entre los aspectos antes mencionados, se puede determinar qué actividades de la empresa son susceptibles de vulnerar los DDHH.</v>
      </c>
      <c r="F9" s="219"/>
      <c r="G9" s="219"/>
      <c r="H9" s="322"/>
      <c r="I9" s="238" t="str">
        <f>IF(('Acciones prevención y rep.'!M4)&lt;=0.5,"Los mecanismos de quejas y reclamos de las empresas deben contar con participación de grupos de interés en su diseño, evaluación y seguimiento.","-")</f>
        <v>Los mecanismos de quejas y reclamos de las empresas deben contar con participación de grupos de interés en su diseño, evaluación y seguimiento.</v>
      </c>
      <c r="J9" s="239"/>
      <c r="K9" s="239"/>
      <c r="L9" s="239"/>
      <c r="M9" s="235" t="str">
        <f>IF(('Monitoreo y evaluación'!N6)&lt;=0.5,"Una vez establecido el mecanismo de seguimiento y puesto en marcha, es importante analizar los impactos diferenciales que pueden existir sobre los diferentes grupos de interés. Haga uso de las recomendaciones","-")</f>
        <v>Una vez establecido el mecanismo de seguimiento y puesto en marcha, es importante analizar los impactos diferenciales que pueden existir sobre los diferentes grupos de interés. Haga uso de las recomendaciones</v>
      </c>
      <c r="N9" s="236"/>
      <c r="O9" s="236"/>
      <c r="P9" s="237"/>
    </row>
    <row r="10" spans="1:20" ht="63.75" customHeight="1">
      <c r="A10" s="224" t="str">
        <f>IF(('Compromiso institucional'!N7)&lt;=0.5,"el comportamiento esperado en materia de DDHH por medio de exigencias contractuales, en las cuales se puede requerir que el proveedor tenga certificaciones o algún otro tipo de formación  en materia de DDHH.","-")</f>
        <v>el comportamiento esperado en materia de DDHH por medio de exigencias contractuales, en las cuales se puede requerir que el proveedor tenga certificaciones o algún otro tipo de formación  en materia de DDHH.</v>
      </c>
      <c r="B10" s="225"/>
      <c r="C10" s="225"/>
      <c r="D10" s="225"/>
      <c r="E10" s="264" t="str">
        <f>IF(('Grupos de interés'!L5)&lt;=0.5,"Para este ejercicio, se recomienda elaborar una matriz de riesgos en la que se distingan las diferentes fases o actividades de la operación empresarial, qué posibles riesgos en materia de DDHH se identifican para cada fase o actividad, qué grupos","-")</f>
        <v>Para este ejercicio, se recomienda elaborar una matriz de riesgos en la que se distingan las diferentes fases o actividades de la operación empresarial, qué posibles riesgos en materia de DDHH se identifican para cada fase o actividad, qué grupos</v>
      </c>
      <c r="F10" s="211"/>
      <c r="G10" s="211"/>
      <c r="H10" s="323"/>
      <c r="I10" s="288" t="str">
        <f>IF(('Acciones prevención y rep.'!M4)&lt;=0.5,"Esto generará canales de denuncia accesibles y adaptados a las necesidades y retos de quienes más valor generan de su","-")</f>
        <v>Esto generará canales de denuncia accesibles y adaptados a las necesidades y retos de quienes más valor generan de su</v>
      </c>
      <c r="J10" s="208"/>
      <c r="K10" s="208"/>
      <c r="L10" s="208"/>
      <c r="M10" s="297" t="str">
        <f>IF(('Monitoreo y evaluación'!N6)&lt;=0.5,"que al respecto se formulan en la esfera de 'Identificación de grupos de interés', pues el mecanismo de seguimiento se asegurará de que se planteen acciones de prevención, mitigación y reparación diferenciales para los grupos de","-")</f>
        <v>que al respecto se formulan en la esfera de 'Identificación de grupos de interés', pues el mecanismo de seguimiento se asegurará de que se planteen acciones de prevención, mitigación y reparación diferenciales para los grupos de</v>
      </c>
      <c r="N10" s="298"/>
      <c r="O10" s="298"/>
      <c r="P10" s="299"/>
    </row>
    <row r="11" spans="1:20" ht="73.5" customHeight="1">
      <c r="A11" s="224" t="str">
        <f>IF(('Compromiso institucional'!N7)&lt;=0.5,"Si bien esto disminuye el número de proveedores aptos del proceso, la exigencia lleva a una mayor competitividad y, en la medida en que proveedores certificados sean los que reciben los contratos, se generará un aumento en el nivel de los aplicantes.","-")</f>
        <v>Si bien esto disminuye el número de proveedores aptos del proceso, la exigencia lleva a una mayor competitividad y, en la medida en que proveedores certificados sean los que reciben los contratos, se generará un aumento en el nivel de los aplicantes.</v>
      </c>
      <c r="B11" s="225"/>
      <c r="C11" s="225"/>
      <c r="D11" s="225"/>
      <c r="E11" s="275" t="str">
        <f>IF(('Grupos de interés'!L5)&lt;=0.5,"de personas pueden resultar afectados por estos riesgos y qué estrategias de prevención, mitigación y/o atención se proponen para cada uno de los riesgos o impactos identificados.","-")</f>
        <v>de personas pueden resultar afectados por estos riesgos y qué estrategias de prevención, mitigación y/o atención se proponen para cada uno de los riesgos o impactos identificados.</v>
      </c>
      <c r="F11" s="219"/>
      <c r="G11" s="219"/>
      <c r="H11" s="322"/>
      <c r="I11" s="229" t="str">
        <f>IF(('Acciones prevención y rep.'!M4)&lt;=0.5,"uso. En caso de que el mecanismo escogido se defina sin tener en cuenta este criterio, la empresa debe asegurarse de contribuir en la construcción de capacidades para su uso y comprensión.","-")</f>
        <v>uso. En caso de que el mecanismo escogido se defina sin tener en cuenta este criterio, la empresa debe asegurarse de contribuir en la construcción de capacidades para su uso y comprensión.</v>
      </c>
      <c r="J11" s="209"/>
      <c r="K11" s="209"/>
      <c r="L11" s="209"/>
      <c r="M11" s="294" t="str">
        <f>IF(('Monitoreo y evaluación'!N6)&lt;=0.5,"interés con los que se relaciona la empresa.","-")</f>
        <v>interés con los que se relaciona la empresa.</v>
      </c>
      <c r="N11" s="295"/>
      <c r="O11" s="295"/>
      <c r="P11" s="296"/>
    </row>
    <row r="12" spans="1:20" ht="79.5" customHeight="1">
      <c r="A12" s="222" t="str">
        <f>IF(('Compromiso institucional'!O7)&lt;=0.5,"Si bien los valores y principios de cada empresa pueden variar y corresponder al sector económico del que son parte, es fundamental que la empresa contemple los valores de igualdad (género, racial, por orientación sexual o identidad","-")</f>
        <v>Si bien los valores y principios de cada empresa pueden variar y corresponder al sector económico del que son parte, es fundamental que la empresa contemple los valores de igualdad (género, racial, por orientación sexual o identidad</v>
      </c>
      <c r="B12" s="223"/>
      <c r="C12" s="223"/>
      <c r="D12" s="223"/>
      <c r="E12" s="231" t="str">
        <f>IF(('Grupos de interés'!M5)&lt;=0.5,"Al ejercicio de caracterización y análisis del entorno de la operación empresarial se debe sumar un ejercicio de identificación de grupos de interés. Los grupos de interés son los diferentes grupos de personas que pueden verse  ","-")</f>
        <v xml:space="preserve">Al ejercicio de caracterización y análisis del entorno de la operación empresarial se debe sumar un ejercicio de identificación de grupos de interés. Los grupos de interés son los diferentes grupos de personas que pueden verse  </v>
      </c>
      <c r="F12" s="232"/>
      <c r="G12" s="232"/>
      <c r="H12" s="321"/>
      <c r="I12" s="239" t="str">
        <f>IF(('Acciones prevención y rep.'!N4)&lt;=0.5,"Las normas existentes dentro de la empresa, especialmente aquellas relacionadas con la convivencia y normas de conducta, deben ser explícitas en las obligaciones de cada actor que compone el sistema en prevenir e investigar","-")</f>
        <v>Las normas existentes dentro de la empresa, especialmente aquellas relacionadas con la convivencia y normas de conducta, deben ser explícitas en las obligaciones de cada actor que compone el sistema en prevenir e investigar</v>
      </c>
      <c r="J12" s="239"/>
      <c r="K12" s="239"/>
      <c r="L12" s="291"/>
      <c r="M12" s="236" t="str">
        <f>IF(('Monitoreo y evaluación'!O6)&lt;=0.5,"Recuerde la importancia de la participación y la co-creación que se menciona en las recomendaciones de la esfera de 'Identificación de grupos de interés'. Es clave","-")</f>
        <v>Recuerde la importancia de la participación y la co-creación que se menciona en las recomendaciones de la esfera de 'Identificación de grupos de interés'. Es clave</v>
      </c>
      <c r="N12" s="236"/>
      <c r="O12" s="236"/>
      <c r="P12" s="237"/>
    </row>
    <row r="13" spans="1:20" ht="60.75" customHeight="1">
      <c r="A13" s="305" t="str">
        <f>IF(('Compromiso institucional'!O7)&lt;=0.5,"de género, etc.), respeto y compromiso con la no discriminación. Uno de los principios con respecto a estos valores debe ser el compromiso imperante por su protección.","-")</f>
        <v>de género, etc.), respeto y compromiso con la no discriminación. Uno de los principios con respecto a estos valores debe ser el compromiso imperante por su protección.</v>
      </c>
      <c r="B13" s="306"/>
      <c r="C13" s="306"/>
      <c r="D13" s="306"/>
      <c r="E13" s="264" t="str">
        <f>IF(('Grupos de interés'!M5)&lt;=0.5,"afectadas, directa o indirectamente, por la operación de la empresa. Para ello, puede realizar un mapeo de actores. Algunos grupos de interés que puede ubicar mediante el mapeo de actores son: i) Trabajadores directos o indirectos; ","-")</f>
        <v xml:space="preserve">afectadas, directa o indirectamente, por la operación de la empresa. Para ello, puede realizar un mapeo de actores. Algunos grupos de interés que puede ubicar mediante el mapeo de actores son: i) Trabajadores directos o indirectos; </v>
      </c>
      <c r="F13" s="211"/>
      <c r="G13" s="211"/>
      <c r="H13" s="323"/>
      <c r="I13" s="316" t="str">
        <f>IF(('Acciones prevención y rep.'!N4)&lt;=0.5,"casos de vulneraciones y en las consecuencias que hay dentro de la empresa al facilitar, promover o ser cómplice de una situación de vulneración de DDHH.","-")</f>
        <v>casos de vulneraciones y en las consecuencias que hay dentro de la empresa al facilitar, promover o ser cómplice de una situación de vulneración de DDHH.</v>
      </c>
      <c r="J13" s="316"/>
      <c r="K13" s="316"/>
      <c r="L13" s="317"/>
      <c r="M13" s="295" t="str">
        <f>IF(('Monitoreo y evaluación'!O6)&lt;=0.5,"que estos grupos puedan contribuir a la empresa a identificar problemas relacionados con la vulneración de DDHH y a definir las medidas de prevención y atención más pertinentes y eficaces.","-")</f>
        <v>que estos grupos puedan contribuir a la empresa a identificar problemas relacionados con la vulneración de DDHH y a definir las medidas de prevención y atención más pertinentes y eficaces.</v>
      </c>
      <c r="N13" s="295"/>
      <c r="O13" s="295"/>
      <c r="P13" s="296"/>
    </row>
    <row r="14" spans="1:20" ht="45" customHeight="1">
      <c r="A14" s="307"/>
      <c r="B14" s="308"/>
      <c r="C14" s="308"/>
      <c r="D14" s="308"/>
      <c r="E14" s="276" t="str">
        <f>IF(('Grupos de interés'!M5)&lt;=0.5,"ii) Sindicatos; iii) Proveedores, distribuidores y otros contratistas; iv) Inversionistas y socios comerciales; v) Instituciones de gobierno y autoridades; vi) Clientes y","-")</f>
        <v>ii) Sindicatos; iii) Proveedores, distribuidores y otros contratistas; iv) Inversionistas y socios comerciales; v) Instituciones de gobierno y autoridades; vi) Clientes y</v>
      </c>
      <c r="F14" s="277"/>
      <c r="G14" s="277"/>
      <c r="H14" s="309"/>
      <c r="I14" s="316"/>
      <c r="J14" s="316"/>
      <c r="K14" s="316"/>
      <c r="L14" s="317"/>
      <c r="M14" s="300" t="str">
        <f>IF(('Monitoreo y evaluación'!P6)&lt;=0.5,"Es importante capacitar a todo el personal de la empresa en temas de DDHH, de tal modo que cada uno de sus trabajadores asuma un compromiso, desde el conocimiento, de respeto y garantía de éstos en el marco de sus actividades. Asesórese con la Defensoría","-")</f>
        <v>Es importante capacitar a todo el personal de la empresa en temas de DDHH, de tal modo que cada uno de sus trabajadores asuma un compromiso, desde el conocimiento, de respeto y garantía de éstos en el marco de sus actividades. Asesórese con la Defensoría</v>
      </c>
      <c r="N14" s="301"/>
      <c r="O14" s="301"/>
      <c r="P14" s="302"/>
    </row>
    <row r="15" spans="1:20" ht="45.75" customHeight="1">
      <c r="A15" s="222" t="str">
        <f>IF(('Compromiso institucional'!P7)&lt;=0.5,"Establecer los principios y valores empresariales que busquen la protección de los DDHH es un gran primer paso.","-")</f>
        <v>Establecer los principios y valores empresariales que busquen la protección de los DDHH es un gran primer paso.</v>
      </c>
      <c r="B15" s="223"/>
      <c r="C15" s="223"/>
      <c r="D15" s="223"/>
      <c r="E15" s="264" t="str">
        <f>IF(('Grupos de interés'!M5)&lt;=0.5,"consumidores; vii) Comunidad asentada en el área de influencia de la operación empresarial; viii) Organizaciones de la sociedad civil, no gubernamentales, fundaciones, etc.","-")</f>
        <v>consumidores; vii) Comunidad asentada en el área de influencia de la operación empresarial; viii) Organizaciones de la sociedad civil, no gubernamentales, fundaciones, etc.</v>
      </c>
      <c r="F15" s="211"/>
      <c r="G15" s="211"/>
      <c r="H15" s="211"/>
      <c r="I15" s="238" t="str">
        <f>IF(('Acciones prevención y rep.'!O4)&lt;=0.5,"El proceso de reparación implica atender los pasos previos a la vulneración que no llevaron a que se respetaran los DDHH.","-")</f>
        <v>El proceso de reparación implica atender los pasos previos a la vulneración que no llevaron a que se respetaran los DDHH.</v>
      </c>
      <c r="J15" s="239"/>
      <c r="K15" s="239"/>
      <c r="L15" s="291"/>
      <c r="M15" s="303"/>
      <c r="N15" s="205"/>
      <c r="O15" s="205"/>
      <c r="P15" s="304"/>
    </row>
    <row r="16" spans="1:20" ht="76.5" customHeight="1">
      <c r="A16" s="224" t="str">
        <f>IF(('Compromiso institucional'!P7)&lt;=0.5,"Sin embargo, esa definición se debe acompañar de un proceso de planeación en el que se establezca la puesta en práctica de esos principios y valores, donde se relacionen con las áreas de operación de la empresa y su aplicación en los procesos productivos.","-")</f>
        <v>Sin embargo, esa definición se debe acompañar de un proceso de planeación en el que se establezca la puesta en práctica de esos principios y valores, donde se relacionen con las áreas de operación de la empresa y su aplicación en los procesos productivos.</v>
      </c>
      <c r="B16" s="225"/>
      <c r="C16" s="225"/>
      <c r="D16" s="225"/>
      <c r="E16" s="262" t="str">
        <f>IF(('Grupos de interés'!M5)&lt;=0.5,"Tenga en cuenta que no es necesario ubicar a cada uno de estos grupos de interés. Determine cuáles aplican de acuerdo con el tamaño, sector económico y actividad de la empresa.","-")</f>
        <v>Tenga en cuenta que no es necesario ubicar a cada uno de estos grupos de interés. Determine cuáles aplican de acuerdo con el tamaño, sector económico y actividad de la empresa.</v>
      </c>
      <c r="F16" s="263"/>
      <c r="G16" s="263"/>
      <c r="H16" s="263"/>
      <c r="I16" s="243" t="str">
        <f>IF(('Acciones prevención y rep.'!O4)&lt;=0.5,"Es decir, no sólo se repara a la víctima directamente sino que, adicionalmente, se deben gestionar todas las instancias que hayan permitido esa vulneración.","-")</f>
        <v>Es decir, no sólo se repara a la víctima directamente sino que, adicionalmente, se deben gestionar todas las instancias que hayan permitido esa vulneración.</v>
      </c>
      <c r="J16" s="221"/>
      <c r="K16" s="221"/>
      <c r="L16" s="292"/>
      <c r="M16" s="295" t="str">
        <f>IF(('Monitoreo y evaluación'!P6)&lt;=0.5,"del Pueblo sobre los diferentes temas en los que las empresas y los DDHH se relacionan, e incluso puede consultar con esta entidad para contar con una capacitación externa para su empresa sobre estos temas.","-")</f>
        <v>del Pueblo sobre los diferentes temas en los que las empresas y los DDHH se relacionan, e incluso puede consultar con esta entidad para contar con una capacitación externa para su empresa sobre estos temas.</v>
      </c>
      <c r="N16" s="295"/>
      <c r="O16" s="295"/>
      <c r="P16" s="296"/>
    </row>
    <row r="17" spans="1:16" ht="79.5" customHeight="1">
      <c r="A17" s="222" t="str">
        <f>IF(('Compromiso institucional'!Q7)&lt;=0.5,"Dentro de los lineamientos de funcionamiento de la empresa se debe tratar las expectativas de la cultura empresarial en cuanto al comportamiento de los actores que conforman el ambiente laboral y su relación con los actores externos.","-")</f>
        <v>Dentro de los lineamientos de funcionamiento de la empresa se debe tratar las expectativas de la cultura empresarial en cuanto al comportamiento de los actores que conforman el ambiente laboral y su relación con los actores externos.</v>
      </c>
      <c r="B17" s="223"/>
      <c r="C17" s="223"/>
      <c r="D17" s="226"/>
      <c r="E17" s="264" t="str">
        <f>IF(('Grupos de interés'!N5)&lt;=0.5,"Tenga en cuenta, como parte del ejercicio de identificación de grupos de interés, que es importante distinguir grupos vulnerables y/o de especial protección constitucional. La afectación a los DDHH de estos grupos puede acarrear","-")</f>
        <v>Tenga en cuenta, como parte del ejercicio de identificación de grupos de interés, que es importante distinguir grupos vulnerables y/o de especial protección constitucional. La afectación a los DDHH de estos grupos puede acarrear</v>
      </c>
      <c r="F17" s="211"/>
      <c r="G17" s="211"/>
      <c r="H17" s="211"/>
      <c r="I17" s="285" t="str">
        <f>IF(('Acciones prevención y rep.'!O4)&lt;=0.5,"La reparación debe tener en el centro las garantías de no repetición para la mitigación de casos similares en el futuro y para avanzar en la construcción de un sistema empresarial que respete los DDHH.","-")</f>
        <v>La reparación debe tener en el centro las garantías de no repetición para la mitigación de casos similares en el futuro y para avanzar en la construcción de un sistema empresarial que respete los DDHH.</v>
      </c>
      <c r="J17" s="286"/>
      <c r="K17" s="286"/>
      <c r="L17" s="287"/>
      <c r="M17" s="27"/>
      <c r="N17" s="27"/>
      <c r="O17" s="27"/>
      <c r="P17" s="27"/>
    </row>
    <row r="18" spans="1:16" ht="58.5" customHeight="1">
      <c r="A18" s="305" t="str">
        <f>IF(('Compromiso institucional'!Q7)&lt;=0.5,"Un código de comportamiento permite exigir actitudes que lleven a la convivencia basada en el respeto y trato igualitario.","-")</f>
        <v>Un código de comportamiento permite exigir actitudes que lleven a la convivencia basada en el respeto y trato igualitario.</v>
      </c>
      <c r="B18" s="306"/>
      <c r="C18" s="306"/>
      <c r="D18" s="310"/>
      <c r="E18" s="276" t="str">
        <f>IF(('Grupos de interés'!N5)&lt;=0.5,"consecuencias judiciales más graves. Algunos de estos grupos son: i) Mujeres; ii) Niñas, niños y adolecentes; iii) Campesinos; iv) Población étnica; v) Personas con discapacidad; vi) Adultos mayores; vii) Desplazados y víctimas de la violencia; ","-")</f>
        <v xml:space="preserve">consecuencias judiciales más graves. Algunos de estos grupos son: i) Mujeres; ii) Niñas, niños y adolecentes; iii) Campesinos; iv) Población étnica; v) Personas con discapacidad; vi) Adultos mayores; vii) Desplazados y víctimas de la violencia; </v>
      </c>
      <c r="F18" s="277"/>
      <c r="G18" s="277"/>
      <c r="H18" s="277"/>
      <c r="I18" s="313" t="str">
        <f>IF(('Acciones prevención y rep.'!P4)&lt;=0.5,"En la medida en que las acciones concretas planteadas en los procesos de reparación se adaptan a cada caso y buscan generar un proceso de acompañamiento y cuidado a la","-")</f>
        <v>En la medida en que las acciones concretas planteadas en los procesos de reparación se adaptan a cada caso y buscan generar un proceso de acompañamiento y cuidado a la</v>
      </c>
      <c r="J18" s="314"/>
      <c r="K18" s="314"/>
      <c r="L18" s="315"/>
      <c r="M18" s="27"/>
      <c r="N18" s="27"/>
      <c r="O18" s="27"/>
      <c r="P18" s="27"/>
    </row>
    <row r="19" spans="1:16" ht="36" customHeight="1">
      <c r="A19" s="307"/>
      <c r="B19" s="308"/>
      <c r="C19" s="308"/>
      <c r="D19" s="311"/>
      <c r="E19" s="273" t="str">
        <f>IF(('Grupos de interés'!O5)&lt;=0.5,"viii) Personas en situación de pobreza extrema; ix) Comunidad LGBTIQ+.","-")</f>
        <v>viii) Personas en situación de pobreza extrema; ix) Comunidad LGBTIQ+.</v>
      </c>
      <c r="F19" s="274"/>
      <c r="G19" s="274"/>
      <c r="H19" s="274"/>
      <c r="I19" s="229" t="str">
        <f>IF(('Acciones prevención y rep.'!P4)&lt;=0.5,"víctima con el enfoque diferencial, es necesario que la empresa establezca diversas opciones de actuar.","-")</f>
        <v>víctima con el enfoque diferencial, es necesario que la empresa establezca diversas opciones de actuar.</v>
      </c>
      <c r="J19" s="209"/>
      <c r="K19" s="209"/>
      <c r="L19" s="290"/>
      <c r="M19" s="27"/>
      <c r="N19" s="27"/>
      <c r="O19" s="27"/>
      <c r="P19" s="27"/>
    </row>
    <row r="20" spans="1:16" ht="61.5" customHeight="1">
      <c r="A20" s="222" t="str">
        <f>IF(('Compromiso institucional'!R7)&lt;=0.5,"La voluntad política, en un sistema jerárquico, como una empresa, es clave para el actuar en favor de la protección de los DDHH.","-")</f>
        <v>La voluntad política, en un sistema jerárquico, como una empresa, es clave para el actuar en favor de la protección de los DDHH.</v>
      </c>
      <c r="B20" s="223"/>
      <c r="C20" s="223"/>
      <c r="D20" s="226"/>
      <c r="E20" s="231" t="str">
        <f>IF(('Grupos de interés'!O5)&lt;=0.5,"Si la operación de su empresa es altamente susceptible de generar impactos sobre los DDHH de diferentes grupos de interés, es importante implementar un mecanismo de consulta y participación con estos. De esta forma, su empresa","-")</f>
        <v>Si la operación de su empresa es altamente susceptible de generar impactos sobre los DDHH de diferentes grupos de interés, es importante implementar un mecanismo de consulta y participación con estos. De esta forma, su empresa</v>
      </c>
      <c r="F20" s="232"/>
      <c r="G20" s="232"/>
      <c r="H20" s="232"/>
      <c r="I20" s="288" t="str">
        <f>IF(('Acciones prevención y rep.'!P4)&lt;=0.5,"Entre más acciones se ofrezcan o se contemplen para la propuesta de reparación se estará asegurando un trato","-")</f>
        <v>Entre más acciones se ofrezcan o se contemplen para la propuesta de reparación se estará asegurando un trato</v>
      </c>
      <c r="J20" s="208"/>
      <c r="K20" s="208"/>
      <c r="L20" s="289"/>
      <c r="M20" s="27"/>
      <c r="N20" s="27"/>
      <c r="O20" s="27"/>
      <c r="P20" s="27"/>
    </row>
    <row r="21" spans="1:16" ht="52.5" customHeight="1">
      <c r="A21" s="224" t="str">
        <f>IF(('Compromiso institucional'!R7)&lt;=0.5,"A pesar de esto, los cambios o ajustes que se den para seguir este propósito sólo tendrán un efecto sostenible si están anclados a la institución, y no a las personas que la conforman.","-")</f>
        <v>A pesar de esto, los cambios o ajustes que se den para seguir este propósito sólo tendrán un efecto sostenible si están anclados a la institución, y no a las personas que la conforman.</v>
      </c>
      <c r="B21" s="225"/>
      <c r="C21" s="225"/>
      <c r="D21" s="284"/>
      <c r="E21" s="275" t="str">
        <f>IF(('Grupos de interés'!O5)&lt;=0.5,"involucra activamente a estos grupos, conoce sus perspectivas sobre cómo prevenir y mitigar los impactos sobre DDHH y genera relaciones más armoniosas con la comunidad.","-")</f>
        <v>involucra activamente a estos grupos, conoce sus perspectivas sobre cómo prevenir y mitigar los impactos sobre DDHH y genera relaciones más armoniosas con la comunidad.</v>
      </c>
      <c r="F21" s="219"/>
      <c r="G21" s="219"/>
      <c r="H21" s="219"/>
      <c r="I21" s="229" t="str">
        <f>IF(('Acciones prevención y rep.'!P4)&lt;=0.5,"que tenga en cuenta las particularidades de cada caso, comprendiendo que las necesidades y preferencias varían entre los sectores sociales.","-")</f>
        <v>que tenga en cuenta las particularidades de cada caso, comprendiendo que las necesidades y preferencias varían entre los sectores sociales.</v>
      </c>
      <c r="J21" s="209"/>
      <c r="K21" s="209"/>
      <c r="L21" s="290"/>
      <c r="M21" s="27"/>
      <c r="N21" s="27"/>
      <c r="O21" s="27"/>
      <c r="P21" s="27"/>
    </row>
    <row r="22" spans="1:16" ht="59.25" customHeight="1">
      <c r="A22" s="268" t="str">
        <f>IF(('Compromiso institucional'!R7)&lt;=0.5,"Por esto es fundamental que la empresa tenga un equipo o cargo individual dentro de su organigrama que se encargue puntualmente de monitorear la situación de Derechos Humanos en los procesos operativos de la empresa.","-")</f>
        <v>Por esto es fundamental que la empresa tenga un equipo o cargo individual dentro de su organigrama que se encargue puntualmente de monitorear la situación de Derechos Humanos en los procesos operativos de la empresa.</v>
      </c>
      <c r="B22" s="269"/>
      <c r="C22" s="269"/>
      <c r="D22" s="270"/>
      <c r="E22" s="276" t="str">
        <f>IF(('Grupos de interés'!O5)&lt;=0.5,"Asegúrese de que el mecanismo de consulta y participación es aplicado periódicamente. La participación y la co-creación son","-")</f>
        <v>Asegúrese de que el mecanismo de consulta y participación es aplicado periódicamente. La participación y la co-creación son</v>
      </c>
      <c r="F22" s="277"/>
      <c r="G22" s="277"/>
      <c r="H22" s="277"/>
      <c r="I22" s="238" t="str">
        <f>IF(('Acciones prevención y rep.'!Q4)&lt;=0.5,"Las discusiones en torno a las formas de reparación de un caso de vulneración a los DDHH deben tener en cuenta el punto de vista, opiniones y preferencias de la víctima. Si la empresa impone una alternativa de reparación es posible","-")</f>
        <v>Las discusiones en torno a las formas de reparación de un caso de vulneración a los DDHH deben tener en cuenta el punto de vista, opiniones y preferencias de la víctima. Si la empresa impone una alternativa de reparación es posible</v>
      </c>
      <c r="J22" s="239"/>
      <c r="K22" s="239"/>
      <c r="L22" s="291"/>
      <c r="M22" s="27"/>
      <c r="N22" s="27"/>
      <c r="O22" s="27"/>
      <c r="P22" s="27"/>
    </row>
    <row r="23" spans="1:16" ht="59.25" customHeight="1">
      <c r="A23" s="265" t="str">
        <f>IF(('Compromiso institucional'!S7)&lt;=0.5,"El respeto de los DDHH tiene que ver, en gran medida, con el reconocimiento de la diversidad y con la mitigación de afectaciones a grupos cuyas diferencias históricamente los hayan puesto en condiciones de vulneración acentuadas.","-")</f>
        <v>El respeto de los DDHH tiene que ver, en gran medida, con el reconocimiento de la diversidad y con la mitigación de afectaciones a grupos cuyas diferencias históricamente los hayan puesto en condiciones de vulneración acentuadas.</v>
      </c>
      <c r="B23" s="266"/>
      <c r="C23" s="266"/>
      <c r="D23" s="267"/>
      <c r="E23" s="275" t="str">
        <f>IF(('Grupos de interés'!O5)&lt;=0.5,"fundamentales para prevenir que haya vulneraciones a los Derechos Humanos y mitigar el impacto de las afectaciones que puedan ocurrir.","-")</f>
        <v>fundamentales para prevenir que haya vulneraciones a los Derechos Humanos y mitigar el impacto de las afectaciones que puedan ocurrir.</v>
      </c>
      <c r="F23" s="219"/>
      <c r="G23" s="219"/>
      <c r="H23" s="219"/>
      <c r="I23" s="288" t="str">
        <f>IF(('Acciones prevención y rep.'!Q4)&lt;=0.5,"que se esté cayendo en una acción con daño adicional, ya que una alternativa que no repare de manera efectiva y cierre el proceso invalida la denuncia y le quita confiabilidad a la instancia.","-")</f>
        <v>que se esté cayendo en una acción con daño adicional, ya que una alternativa que no repare de manera efectiva y cierre el proceso invalida la denuncia y le quita confiabilidad a la instancia.</v>
      </c>
      <c r="J23" s="208"/>
      <c r="K23" s="208"/>
      <c r="L23" s="289"/>
      <c r="M23" s="27"/>
      <c r="N23" s="27"/>
      <c r="O23" s="27"/>
      <c r="P23" s="27"/>
    </row>
    <row r="24" spans="1:16" ht="57" customHeight="1">
      <c r="A24" s="224" t="str">
        <f>IF(('Compromiso institucional'!S7)&lt;=0.5,"Por esta razón, tener participación de grupos de interés en los espacios decisorios que se establezcan en los lineamientos de la empresa es una condición que debe fijarse en el compromiso institucional.","-")</f>
        <v>Por esta razón, tener participación de grupos de interés en los espacios decisorios que se establezcan en los lineamientos de la empresa es una condición que debe fijarse en el compromiso institucional.</v>
      </c>
      <c r="B24" s="225"/>
      <c r="C24" s="225"/>
      <c r="D24" s="225"/>
      <c r="E24" s="231" t="str">
        <f>IF(('Grupos de interés'!P5)&lt;=0.5,"Son múltiples los derechos que una empresa debe respetar y garantizar a sus empleados y contratistas. Tenga en cuenta","-")</f>
        <v>Son múltiples los derechos que una empresa debe respetar y garantizar a sus empleados y contratistas. Tenga en cuenta</v>
      </c>
      <c r="F24" s="232"/>
      <c r="G24" s="232"/>
      <c r="H24" s="232"/>
      <c r="I24" s="288" t="str">
        <f>IF(('Acciones prevención y rep.'!Q4)&lt;=0.5,"Los procesos de respuesta a quejas y reclamos deben basarse en el diálogo y en la construcción de acuerdos en pro de la reparación del daño. De esta forma, las soluciones que se","-")</f>
        <v>Los procesos de respuesta a quejas y reclamos deben basarse en el diálogo y en la construcción de acuerdos en pro de la reparación del daño. De esta forma, las soluciones que se</v>
      </c>
      <c r="J24" s="208"/>
      <c r="K24" s="208"/>
      <c r="L24" s="289"/>
      <c r="M24" s="27"/>
      <c r="N24" s="27"/>
      <c r="O24" s="27"/>
      <c r="P24" s="27"/>
    </row>
    <row r="25" spans="1:16" ht="62.25" customHeight="1">
      <c r="A25" s="265" t="str">
        <f>IF(('Compromiso institucional'!T7)&lt;=0.5,"Después de definir y desarrollar el contenido de la política institucional encaminada al respeto de los DDHH en los procesos operativos, la empresa tiene la responsabilidad de difundir las acciones planteadas para lograr lo planeado.","-")</f>
        <v>Después de definir y desarrollar el contenido de la política institucional encaminada al respeto de los DDHH en los procesos operativos, la empresa tiene la responsabilidad de difundir las acciones planteadas para lograr lo planeado.</v>
      </c>
      <c r="B25" s="266"/>
      <c r="C25" s="266"/>
      <c r="D25" s="267"/>
      <c r="E25" s="211" t="str">
        <f>IF(('Grupos de interés'!P5)&lt;=0.5,"los siguientes: i) Derecho al trabajo; ii) Libertad de asociación, Libertad sindical y derecho a la negociación colectiva; iii) Abolición del trabajo forzoso; iv) Derecho de sindicación y huelga; v) Libertad de expresión; vi) Eliminación de toda","-")</f>
        <v>los siguientes: i) Derecho al trabajo; ii) Libertad de asociación, Libertad sindical y derecho a la negociación colectiva; iii) Abolición del trabajo forzoso; iv) Derecho de sindicación y huelga; v) Libertad de expresión; vi) Eliminación de toda</v>
      </c>
      <c r="F25" s="211"/>
      <c r="G25" s="211"/>
      <c r="H25" s="211"/>
      <c r="I25" s="229" t="str">
        <f>IF(('Acciones prevención y rep.'!Q4)&lt;=0.5,"planteen pueden reparar de manera efectiva y real el daño y serán más eficientes para prevenir las situaciones similares que se puedan presentar en el futuro.","-")</f>
        <v>planteen pueden reparar de manera efectiva y real el daño y serán más eficientes para prevenir las situaciones similares que se puedan presentar en el futuro.</v>
      </c>
      <c r="J25" s="209"/>
      <c r="K25" s="209"/>
      <c r="L25" s="290"/>
      <c r="M25" s="27"/>
      <c r="N25" s="27"/>
      <c r="O25" s="27"/>
      <c r="P25" s="27"/>
    </row>
    <row r="26" spans="1:16" ht="46.5" customHeight="1">
      <c r="A26" s="278" t="str">
        <f>IF(('Compromiso institucional'!T7)&lt;=0.5,"La comunicación del compromiso político y de las acciones concretas que buscan el respeto de los DDHH genera un cambio en la consciencia colectiva en favor de los Derechos,","-")</f>
        <v>La comunicación del compromiso político y de las acciones concretas que buscan el respeto de los DDHH genera un cambio en la consciencia colectiva en favor de los Derechos,</v>
      </c>
      <c r="B26" s="279"/>
      <c r="C26" s="279"/>
      <c r="D26" s="280"/>
      <c r="E26" s="228" t="str">
        <f>IF(('Grupos de interés'!P5)&lt;=0.5,"forma de discriminación en el empleo y la ocupación.","-")</f>
        <v>forma de discriminación en el empleo y la ocupación.</v>
      </c>
      <c r="F26" s="228"/>
      <c r="G26" s="228"/>
      <c r="H26" s="228"/>
      <c r="I26" s="318" t="str">
        <f>IF(('Acciones prevención y rep.'!R4)&lt;=0.5,"La empresa, dentro de sus labores de prevención, tiene la responsabilidad de generar un ambiente propicio para el respeto de los DDHH. Para lograr este fin, está en sus manos","-")</f>
        <v>La empresa, dentro de sus labores de prevención, tiene la responsabilidad de generar un ambiente propicio para el respeto de los DDHH. Para lograr este fin, está en sus manos</v>
      </c>
      <c r="J26" s="319"/>
      <c r="K26" s="319"/>
      <c r="L26" s="320"/>
      <c r="M26" s="27"/>
      <c r="N26" s="27"/>
      <c r="O26" s="27"/>
      <c r="P26" s="27"/>
    </row>
    <row r="27" spans="1:16" ht="34.5" customHeight="1">
      <c r="A27" s="268" t="str">
        <f>IF(('Compromiso institucional'!T7)&lt;=0.5,"ya que se vuelve una tarea conjunta y se cuenta con el apoyo de todos los niveles jerárquicos.","-")</f>
        <v>ya que se vuelve una tarea conjunta y se cuenta con el apoyo de todos los niveles jerárquicos.</v>
      </c>
      <c r="B27" s="269"/>
      <c r="C27" s="269"/>
      <c r="D27" s="270"/>
      <c r="E27" s="312"/>
      <c r="F27" s="312"/>
      <c r="G27" s="312"/>
      <c r="H27" s="312"/>
      <c r="I27" s="243" t="str">
        <f>IF(('Acciones prevención y rep.'!R4)&lt;=0.5,"formar a quienes llevan a cabo sus procesos productivos y a quienes conforman el ambiente laboral en temáticas como","-")</f>
        <v>formar a quienes llevan a cabo sus procesos productivos y a quienes conforman el ambiente laboral en temáticas como</v>
      </c>
      <c r="J27" s="221"/>
      <c r="K27" s="221"/>
      <c r="L27" s="292"/>
      <c r="M27" s="27"/>
      <c r="N27" s="27"/>
      <c r="O27" s="27"/>
      <c r="P27" s="27"/>
    </row>
    <row r="28" spans="1:16" ht="59.25" customHeight="1">
      <c r="A28" s="271" t="str">
        <f>IF(('Compromiso institucional'!U7)&lt;=0.5,"Las acciones que se realizan para proteger los DDHH dependen, en gran medida, del grado de compromiso que las personas sientan por perseguir esa meta. Demostrar el avance","-")</f>
        <v>Las acciones que se realizan para proteger los DDHH dependen, en gran medida, del grado de compromiso que las personas sientan por perseguir esa meta. Demostrar el avance</v>
      </c>
      <c r="B28" s="215"/>
      <c r="C28" s="215"/>
      <c r="D28" s="272"/>
      <c r="E28" s="264" t="str">
        <f>IF(('Grupos de interés'!Q5)&lt;=0.5,"Los empleados de toda empresa tienen el derecho a estar afiliados a seguridad social para garantizar su derecho a la salud, su derecho a la pensión y estar asegurados contra riesgos laborales (pertenecer a una ARL).","-")</f>
        <v>Los empleados de toda empresa tienen el derecho a estar afiliados a seguridad social para garantizar su derecho a la salud, su derecho a la pensión y estar asegurados contra riesgos laborales (pertenecer a una ARL).</v>
      </c>
      <c r="F28" s="211"/>
      <c r="G28" s="211"/>
      <c r="H28" s="211"/>
      <c r="I28" s="229" t="str">
        <f>IF(('Acciones prevención y rep.'!R4)&lt;=0.5,"el enfoque diferencial, enfoque de género y  prácticas no discriminatorias. De esta forma, se está previniendo que se desarrollen casos de vulneración a causa de desinformación o falta de criterio en esta materia. Es clave que quienes provean","-")</f>
        <v>el enfoque diferencial, enfoque de género y  prácticas no discriminatorias. De esta forma, se está previniendo que se desarrollen casos de vulneración a causa de desinformación o falta de criterio en esta materia. Es clave que quienes provean</v>
      </c>
      <c r="J28" s="209"/>
      <c r="K28" s="209"/>
      <c r="L28" s="290"/>
      <c r="M28" s="27"/>
      <c r="N28" s="27"/>
      <c r="O28" s="27"/>
      <c r="P28" s="27"/>
    </row>
    <row r="29" spans="1:16" ht="72" customHeight="1">
      <c r="A29" s="281" t="str">
        <f>IF(('Compromiso institucional'!U7)&lt;=0.5,"en la prevención y el manejo adecuado de los casos de vulneración reportados motiva a las personas a ajustar su actuar en favor del respeto por los DDHH tanto a nivel interno como con actores externos, porque se plantea como una meta común.","-")</f>
        <v>en la prevención y el manejo adecuado de los casos de vulneración reportados motiva a las personas a ajustar su actuar en favor del respeto por los DDHH tanto a nivel interno como con actores externos, porque se plantea como una meta común.</v>
      </c>
      <c r="B29" s="282"/>
      <c r="C29" s="282"/>
      <c r="D29" s="283"/>
      <c r="E29" s="275" t="str">
        <f>IF(('Grupos de interés'!Q5)&lt;=0.5,"Asegúrese de que su empresa garantiza la afiliación a seguridad social de cada uno de sus empleados.","-")</f>
        <v>Asegúrese de que su empresa garantiza la afiliación a seguridad social de cada uno de sus empleados.</v>
      </c>
      <c r="F29" s="219"/>
      <c r="G29" s="219"/>
      <c r="H29" s="219"/>
      <c r="I29" s="285" t="str">
        <f>IF(('Acciones prevención y rep.'!R4)&lt;=0.5,"esta información sean personas expertas en violencias basadas en género.","-")</f>
        <v>esta información sean personas expertas en violencias basadas en género.</v>
      </c>
      <c r="J29" s="286"/>
      <c r="K29" s="286"/>
      <c r="L29" s="287"/>
      <c r="M29" s="27"/>
      <c r="N29" s="27"/>
      <c r="O29" s="27"/>
      <c r="P29" s="27"/>
    </row>
    <row r="30" spans="1:16" ht="74.25" customHeight="1">
      <c r="E30" s="231" t="str">
        <f>IF(('Grupos de interés'!R5)&lt;=0.5,"Recuerde que el trabajo infantil se entiende como toda actividad, remunerada o no, realizada en forma independiente o al servicio de otra persona,  por personas menores de 18 años y las cuales les resulte peligrosa por su por su ","-")</f>
        <v xml:space="preserve">Recuerde que el trabajo infantil se entiende como toda actividad, remunerada o no, realizada en forma independiente o al servicio de otra persona,  por personas menores de 18 años y las cuales les resulte peligrosa por su por su </v>
      </c>
      <c r="F30" s="232"/>
      <c r="G30" s="232"/>
      <c r="H30" s="232"/>
      <c r="I30" s="288" t="str">
        <f>IF(('Acciones prevención y rep.'!S4)&lt;=0.5,"La empresa, dentro de sus labores de prevención, tiene la responsabilidad de generar un ambiente propicio para el respeto de los DDHH. Para lograr este fin, está en sus manos","-")</f>
        <v>La empresa, dentro de sus labores de prevención, tiene la responsabilidad de generar un ambiente propicio para el respeto de los DDHH. Para lograr este fin, está en sus manos</v>
      </c>
      <c r="J30" s="208"/>
      <c r="K30" s="208"/>
      <c r="L30" s="289"/>
      <c r="M30" s="27"/>
      <c r="N30" s="27"/>
      <c r="O30" s="27"/>
      <c r="P30" s="27"/>
    </row>
    <row r="31" spans="1:16" ht="46.5" customHeight="1">
      <c r="E31" s="273" t="str">
        <f>IF(('Grupos de interés'!R5)&lt;=0.5,"naturaleza o condición. Asegúrese de que empleados y contratistas de la empresa no sean menores de edad.","-")</f>
        <v>naturaleza o condición. Asegúrese de que empleados y contratistas de la empresa no sean menores de edad.</v>
      </c>
      <c r="F31" s="274"/>
      <c r="G31" s="274"/>
      <c r="H31" s="274"/>
      <c r="I31" s="288" t="str">
        <f>IF(('Acciones prevención y rep.'!S4)&lt;=0.5,"formar a quienes llevan a cabo sus procesos productivos y a quienes conforman el ambiente laboral en temáticas como el enfoque diferencial, enfoque de género y  prácticas no discriminatorias. De esta forma, se está previniendo que se","-")</f>
        <v>formar a quienes llevan a cabo sus procesos productivos y a quienes conforman el ambiente laboral en temáticas como el enfoque diferencial, enfoque de género y  prácticas no discriminatorias. De esta forma, se está previniendo que se</v>
      </c>
      <c r="J31" s="208"/>
      <c r="K31" s="208"/>
      <c r="L31" s="289"/>
      <c r="M31" s="27"/>
      <c r="N31" s="27"/>
      <c r="O31" s="27"/>
      <c r="P31" s="27"/>
    </row>
    <row r="32" spans="1:16" ht="75.75" customHeight="1" thickBot="1">
      <c r="E32" s="231" t="str">
        <f>IF(('Grupos de interés'!S5)&lt;=0.5,"La empresa debe garantizar que sus procesos de contratación son transparentes, igualitarios y no discriminatorios.","-")</f>
        <v>La empresa debe garantizar que sus procesos de contratación son transparentes, igualitarios y no discriminatorios.</v>
      </c>
      <c r="F32" s="232"/>
      <c r="G32" s="232"/>
      <c r="H32" s="232"/>
      <c r="I32" s="229" t="str">
        <f>IF(('Acciones prevención y rep.'!S4)&lt;=0.5,"desarrollen casos de vulneración a causa de desinformación o falta de criterio en esta materia. Es clave que quienes provean esta información sean personas expertas en identidad de género y orientación sexual.","-")</f>
        <v>desarrollen casos de vulneración a causa de desinformación o falta de criterio en esta materia. Es clave que quienes provean esta información sean personas expertas en identidad de género y orientación sexual.</v>
      </c>
      <c r="J32" s="209"/>
      <c r="K32" s="209"/>
      <c r="L32" s="290"/>
      <c r="M32" s="27"/>
      <c r="N32" s="27"/>
      <c r="O32" s="27"/>
      <c r="P32" s="27"/>
    </row>
    <row r="33" spans="5:16" ht="45.75" customHeight="1">
      <c r="E33" s="264" t="str">
        <f>IF(('Grupos de interés'!S5)&lt;=0.5,"Tenga en cuenta que los siguientes derechos pueden verse afectados en caso de su empresa no cuente con procesos de contratación con dichas características:","-")</f>
        <v>Tenga en cuenta que los siguientes derechos pueden verse afectados en caso de su empresa no cuente con procesos de contratación con dichas características:</v>
      </c>
      <c r="F33" s="211"/>
      <c r="G33" s="211"/>
      <c r="H33" s="211"/>
      <c r="I33" s="238" t="str">
        <f>IF(('Acciones prevención y rep.'!T4)&lt;=0.5,"La empresa, dentro de sus labores de prevención, tiene la responsabilidad de generar un ambiente propicio para el respeto de los DDHH. Para lograr este fin, está en sus manos","-")</f>
        <v>La empresa, dentro de sus labores de prevención, tiene la responsabilidad de generar un ambiente propicio para el respeto de los DDHH. Para lograr este fin, está en sus manos</v>
      </c>
      <c r="J33" s="239"/>
      <c r="K33" s="239"/>
      <c r="L33" s="291"/>
      <c r="M33" s="27"/>
      <c r="N33" s="27"/>
      <c r="O33" s="27"/>
      <c r="P33" s="27"/>
    </row>
    <row r="34" spans="5:16" ht="58.5" customHeight="1" thickBot="1">
      <c r="E34" s="273" t="str">
        <f>IF(('Grupos de interés'!S5)&lt;=0.5,"Derecho a la tutela judicial efectiva, Derecho al trabajo, Igualdad de trato y no discriminación, Igualdad ante la Ley y Derechos económicos, sociales y culturales.","-")</f>
        <v>Derecho a la tutela judicial efectiva, Derecho al trabajo, Igualdad de trato y no discriminación, Igualdad ante la Ley y Derechos económicos, sociales y culturales.</v>
      </c>
      <c r="F34" s="274"/>
      <c r="G34" s="274"/>
      <c r="H34" s="274"/>
      <c r="I34" s="288" t="str">
        <f>IF(('Acciones prevención y rep.'!T4)&lt;=0.5,"formar a quienes llevan a cabo sus procesos productivos y a quienes conforman el ambiente laboral en temáticas como el enfoque diferencial, interseccional y  prácticas no discriminatorias. De esta forma, se está previniendo que se","-")</f>
        <v>formar a quienes llevan a cabo sus procesos productivos y a quienes conforman el ambiente laboral en temáticas como el enfoque diferencial, interseccional y  prácticas no discriminatorias. De esta forma, se está previniendo que se</v>
      </c>
      <c r="J34" s="208"/>
      <c r="K34" s="208"/>
      <c r="L34" s="289"/>
      <c r="M34" s="27"/>
      <c r="N34" s="27"/>
      <c r="O34" s="27"/>
      <c r="P34" s="27"/>
    </row>
    <row r="35" spans="5:16" ht="62.25" customHeight="1" thickBot="1">
      <c r="E35" s="231" t="str">
        <f>IF(('Grupos de interés'!T5)&lt;=0.5,"Las relaciones armoniosas con otros grupos de personas son fundamentales como parte del compromiso empresarial frente a los DDHH. Por lo tanto, es importante que las","-")</f>
        <v>Las relaciones armoniosas con otros grupos de personas son fundamentales como parte del compromiso empresarial frente a los DDHH. Por lo tanto, es importante que las</v>
      </c>
      <c r="F35" s="232"/>
      <c r="G35" s="232"/>
      <c r="H35" s="232"/>
      <c r="I35" s="288" t="str">
        <f>IF(('Acciones prevención y rep.'!T4)&lt;=0.5,"desarrollen casos de vulneración a causa de desinformación o falta de criterio en esta materia. Es clave que quienes provean esta información sean personas expertas en diversidad étnica y cultural.","-")</f>
        <v>desarrollen casos de vulneración a causa de desinformación o falta de criterio en esta materia. Es clave que quienes provean esta información sean personas expertas en diversidad étnica y cultural.</v>
      </c>
      <c r="J35" s="208"/>
      <c r="K35" s="208"/>
      <c r="L35" s="289"/>
      <c r="M35" s="27"/>
      <c r="N35" s="27"/>
      <c r="O35" s="27"/>
      <c r="P35" s="27"/>
    </row>
    <row r="36" spans="5:16" ht="62.25" customHeight="1">
      <c r="E36" s="293" t="str">
        <f>IF(('Grupos de interés'!T5)&lt;=0.5,"relaciones con otros actores estén marcadas por principios como la accesibilidad (los grupos de interés pueden acceder a información sobre los procesos de la empresa en materia de DDHH y pueden comunicarse fluidamente con la empresa),","-")</f>
        <v>relaciones con otros actores estén marcadas por principios como la accesibilidad (los grupos de interés pueden acceder a información sobre los procesos de la empresa en materia de DDHH y pueden comunicarse fluidamente con la empresa),</v>
      </c>
      <c r="F36" s="212"/>
      <c r="G36" s="212"/>
      <c r="H36" s="212"/>
      <c r="I36" s="238" t="str">
        <f>IF(('Acciones prevención y rep.'!U4)&lt;=0.5,"La empresa, dentro de sus labores de prevención, tiene la responsabilidad de generar un ambiente propicio para el respeto de los DDHH. Para lograr este fin, está en sus manos","-")</f>
        <v>La empresa, dentro de sus labores de prevención, tiene la responsabilidad de generar un ambiente propicio para el respeto de los DDHH. Para lograr este fin, está en sus manos</v>
      </c>
      <c r="J36" s="239"/>
      <c r="K36" s="239"/>
      <c r="L36" s="291"/>
      <c r="M36" s="27"/>
      <c r="N36" s="27"/>
      <c r="O36" s="27"/>
      <c r="P36" s="27"/>
    </row>
    <row r="37" spans="5:16" ht="62.25" customHeight="1" thickBot="1">
      <c r="E37" s="273" t="str">
        <f>IF(('Grupos de interés'!T5)&lt;=0.5,"inclusividad (se garantiza el respeto y la no discriminación en el trato con los trabajadores de la empresa y otros actores) y transparencia (la empresa comunica sus operaciones en materia de DDHH de manera transparente)","-")</f>
        <v>inclusividad (se garantiza el respeto y la no discriminación en el trato con los trabajadores de la empresa y otros actores) y transparencia (la empresa comunica sus operaciones en materia de DDHH de manera transparente)</v>
      </c>
      <c r="F37" s="274"/>
      <c r="G37" s="274"/>
      <c r="H37" s="274"/>
      <c r="I37" s="288" t="str">
        <f>IF(('Acciones prevención y rep.'!U4)&lt;=0.5,"formar a quienes llevan a cabo sus procesos productivos y a quienes conforman el ambiente laboral en temáticas como el enfoque diferencial, interseccional y  prácticas no discriminatorias. De esta forma, se está previniendo que se ","-")</f>
        <v xml:space="preserve">formar a quienes llevan a cabo sus procesos productivos y a quienes conforman el ambiente laboral en temáticas como el enfoque diferencial, interseccional y  prácticas no discriminatorias. De esta forma, se está previniendo que se </v>
      </c>
      <c r="J37" s="208"/>
      <c r="K37" s="208"/>
      <c r="L37" s="289"/>
      <c r="M37" s="27"/>
      <c r="N37" s="27"/>
      <c r="O37" s="27"/>
      <c r="P37" s="27"/>
    </row>
    <row r="38" spans="5:16" ht="60.75" customHeight="1" thickBot="1">
      <c r="E38" s="231" t="str">
        <f>IF(('Grupos de interés'!U5)&lt;=0.5,"Aunque su empresa no cuente aún con un mecanismo de consulta y participación para los grupos de interés, es importante partir de la disposición a escuchar a otros actores y recibir su retroalimentación para mejorar los procesos en","-")</f>
        <v>Aunque su empresa no cuente aún con un mecanismo de consulta y participación para los grupos de interés, es importante partir de la disposición a escuchar a otros actores y recibir su retroalimentación para mejorar los procesos en</v>
      </c>
      <c r="F38" s="232"/>
      <c r="G38" s="232"/>
      <c r="H38" s="232"/>
      <c r="I38" s="288" t="str">
        <f>IF(('Acciones prevención y rep.'!U4)&lt;=0.5,"desarrollen casos de vulneración a causa de desinformación o falta de criterio en esta materia. Quienes proveen esta información deben ser personas expertas en tipos de explotación laboral y sus manifestaciones según sector social.","-")</f>
        <v>desarrollen casos de vulneración a causa de desinformación o falta de criterio en esta materia. Quienes proveen esta información deben ser personas expertas en tipos de explotación laboral y sus manifestaciones según sector social.</v>
      </c>
      <c r="J38" s="208"/>
      <c r="K38" s="208"/>
      <c r="L38" s="289"/>
      <c r="M38" s="27"/>
      <c r="N38" s="27"/>
      <c r="O38" s="27"/>
      <c r="P38" s="27"/>
    </row>
    <row r="39" spans="5:16" ht="48" customHeight="1" thickBot="1">
      <c r="E39" s="273" t="str">
        <f>IF(('Grupos de interés'!U5)&lt;=0.5,"materia de DDHH de la empresa. Esto da cuenta de una buena disposición y voluntad para garantizar los DDHH de los diferentes grupos de interés.","-")</f>
        <v>materia de DDHH de la empresa. Esto da cuenta de una buena disposición y voluntad para garantizar los DDHH de los diferentes grupos de interés.</v>
      </c>
      <c r="F39" s="274"/>
      <c r="G39" s="274"/>
      <c r="H39" s="274"/>
      <c r="I39" s="238" t="str">
        <f>IF(('Acciones prevención y rep.'!V4)&lt;=0.5,"La empresa, dentro de sus labores de prevención, tiene la responsabilidad de generar un ambiente propicio para el respeto de los DDHH. Para lograr este fin, está en sus manos","-")</f>
        <v>La empresa, dentro de sus labores de prevención, tiene la responsabilidad de generar un ambiente propicio para el respeto de los DDHH. Para lograr este fin, está en sus manos</v>
      </c>
      <c r="J39" s="239"/>
      <c r="K39" s="239"/>
      <c r="L39" s="291"/>
      <c r="M39" s="27"/>
      <c r="N39" s="27"/>
      <c r="O39" s="27"/>
      <c r="P39" s="27"/>
    </row>
    <row r="40" spans="5:16" ht="62.25" customHeight="1">
      <c r="E40" s="27"/>
      <c r="F40" s="27"/>
      <c r="G40" s="27"/>
      <c r="H40" s="27"/>
      <c r="I40" s="288" t="str">
        <f>IF(('Acciones prevención y rep.'!V4)&lt;=0.5,"formar a quienes llevan a cabo sus procesos productivos y a quienes conforman el ambiente laboral en temáticas como el enfoque diferencial, interseccional y  prácticas no discriminatorias. De esta forma, se está previniendo que se","-")</f>
        <v>formar a quienes llevan a cabo sus procesos productivos y a quienes conforman el ambiente laboral en temáticas como el enfoque diferencial, interseccional y  prácticas no discriminatorias. De esta forma, se está previniendo que se</v>
      </c>
      <c r="J40" s="208"/>
      <c r="K40" s="208"/>
      <c r="L40" s="289"/>
      <c r="M40" s="27"/>
      <c r="N40" s="27"/>
      <c r="O40" s="27"/>
      <c r="P40" s="27"/>
    </row>
    <row r="41" spans="5:16" ht="78" customHeight="1" thickBot="1">
      <c r="E41" s="27"/>
      <c r="F41" s="27"/>
      <c r="G41" s="27"/>
      <c r="H41" s="27"/>
      <c r="I41" s="285" t="str">
        <f>IF(('Acciones prevención y rep.'!V4)&lt;=0.5,"desarrollen casos de vulneración a causa de desinformación o falta de criterio en esta materia. Es clave que quienes provean esta información sean personas expertas en tipos de violencia y Derechos Humanos.","-")</f>
        <v>desarrollen casos de vulneración a causa de desinformación o falta de criterio en esta materia. Es clave que quienes provean esta información sean personas expertas en tipos de violencia y Derechos Humanos.</v>
      </c>
      <c r="J41" s="286"/>
      <c r="K41" s="286"/>
      <c r="L41" s="287"/>
      <c r="M41" s="27"/>
      <c r="N41" s="27"/>
      <c r="O41" s="27"/>
      <c r="P41" s="27"/>
    </row>
    <row r="42" spans="5:16">
      <c r="E42" s="27"/>
      <c r="F42" s="27"/>
      <c r="G42" s="27"/>
      <c r="H42" s="27"/>
      <c r="I42" s="27"/>
      <c r="J42" s="27"/>
      <c r="K42" s="27"/>
      <c r="L42" s="27"/>
      <c r="M42" s="27"/>
      <c r="N42" s="27"/>
      <c r="O42" s="27"/>
      <c r="P42" s="27"/>
    </row>
    <row r="43" spans="5:16">
      <c r="E43" s="27"/>
      <c r="F43" s="27"/>
      <c r="G43" s="27"/>
      <c r="H43" s="27"/>
      <c r="I43" s="27"/>
      <c r="J43" s="27"/>
      <c r="K43" s="27"/>
      <c r="L43" s="27"/>
      <c r="M43" s="27"/>
      <c r="N43" s="27"/>
      <c r="O43" s="27"/>
      <c r="P43" s="27"/>
    </row>
  </sheetData>
  <sheetProtection algorithmName="SHA-512" hashValue="CeKy8OtGbLoqbv74dAuDkf+Gbph+tACC0mq+NcN4FYw5XTtQX7eCk1vNfQXLZp8wqmAJZt4jdmt6SNIZZD2JYw==" saltValue="GVcoXGVD1uHQpRIjuy8Gqw==" spinCount="100000" sheet="1" objects="1" scenarios="1"/>
  <mergeCells count="119">
    <mergeCell ref="I18:L18"/>
    <mergeCell ref="I26:L26"/>
    <mergeCell ref="E12:H12"/>
    <mergeCell ref="I11:L11"/>
    <mergeCell ref="I12:L12"/>
    <mergeCell ref="I15:L15"/>
    <mergeCell ref="I16:L16"/>
    <mergeCell ref="I17:L17"/>
    <mergeCell ref="I19:L19"/>
    <mergeCell ref="E11:H11"/>
    <mergeCell ref="E13:H13"/>
    <mergeCell ref="E15:H15"/>
    <mergeCell ref="E34:H34"/>
    <mergeCell ref="E29:H29"/>
    <mergeCell ref="I41:L41"/>
    <mergeCell ref="M8:P8"/>
    <mergeCell ref="M9:P9"/>
    <mergeCell ref="M10:P10"/>
    <mergeCell ref="M11:P11"/>
    <mergeCell ref="M12:P12"/>
    <mergeCell ref="M13:P13"/>
    <mergeCell ref="M16:P16"/>
    <mergeCell ref="I36:L36"/>
    <mergeCell ref="I37:L37"/>
    <mergeCell ref="I38:L38"/>
    <mergeCell ref="I39:L39"/>
    <mergeCell ref="I40:L40"/>
    <mergeCell ref="I31:L31"/>
    <mergeCell ref="I32:L32"/>
    <mergeCell ref="I33:L33"/>
    <mergeCell ref="I34:L34"/>
    <mergeCell ref="I9:L9"/>
    <mergeCell ref="I10:L10"/>
    <mergeCell ref="M14:P15"/>
    <mergeCell ref="E14:H14"/>
    <mergeCell ref="E18:H18"/>
    <mergeCell ref="A29:D29"/>
    <mergeCell ref="A20:D20"/>
    <mergeCell ref="A21:D21"/>
    <mergeCell ref="A22:D22"/>
    <mergeCell ref="I29:L29"/>
    <mergeCell ref="I30:L30"/>
    <mergeCell ref="E38:H38"/>
    <mergeCell ref="E39:H39"/>
    <mergeCell ref="I20:L20"/>
    <mergeCell ref="I21:L21"/>
    <mergeCell ref="I22:L22"/>
    <mergeCell ref="I23:L23"/>
    <mergeCell ref="I24:L24"/>
    <mergeCell ref="E30:H30"/>
    <mergeCell ref="E31:H31"/>
    <mergeCell ref="I35:L35"/>
    <mergeCell ref="I25:L25"/>
    <mergeCell ref="I27:L27"/>
    <mergeCell ref="I28:L28"/>
    <mergeCell ref="E32:H32"/>
    <mergeCell ref="E33:H33"/>
    <mergeCell ref="E35:H35"/>
    <mergeCell ref="E36:H36"/>
    <mergeCell ref="E37:H37"/>
    <mergeCell ref="A24:D24"/>
    <mergeCell ref="A25:D25"/>
    <mergeCell ref="A27:D27"/>
    <mergeCell ref="A28:D28"/>
    <mergeCell ref="E24:H24"/>
    <mergeCell ref="E25:H25"/>
    <mergeCell ref="E28:H28"/>
    <mergeCell ref="E19:H19"/>
    <mergeCell ref="E20:H20"/>
    <mergeCell ref="E21:H21"/>
    <mergeCell ref="E22:H22"/>
    <mergeCell ref="E23:H23"/>
    <mergeCell ref="A26:D26"/>
    <mergeCell ref="A23:D23"/>
    <mergeCell ref="A18:D19"/>
    <mergeCell ref="E26:H27"/>
    <mergeCell ref="M1:P1"/>
    <mergeCell ref="A2:D2"/>
    <mergeCell ref="E2:H2"/>
    <mergeCell ref="I2:L2"/>
    <mergeCell ref="M2:P2"/>
    <mergeCell ref="A4:D4"/>
    <mergeCell ref="I4:L4"/>
    <mergeCell ref="M4:P4"/>
    <mergeCell ref="A3:D3"/>
    <mergeCell ref="A1:D1"/>
    <mergeCell ref="E1:H1"/>
    <mergeCell ref="I1:L1"/>
    <mergeCell ref="M3:P3"/>
    <mergeCell ref="E3:H4"/>
    <mergeCell ref="I3:L3"/>
    <mergeCell ref="M5:P5"/>
    <mergeCell ref="A6:D6"/>
    <mergeCell ref="E6:H6"/>
    <mergeCell ref="I6:L6"/>
    <mergeCell ref="M6:P6"/>
    <mergeCell ref="A7:D7"/>
    <mergeCell ref="E7:H7"/>
    <mergeCell ref="I7:L7"/>
    <mergeCell ref="M7:P7"/>
    <mergeCell ref="A12:D12"/>
    <mergeCell ref="A15:D15"/>
    <mergeCell ref="A16:D16"/>
    <mergeCell ref="A17:D17"/>
    <mergeCell ref="A5:D5"/>
    <mergeCell ref="E5:H5"/>
    <mergeCell ref="I5:L5"/>
    <mergeCell ref="A11:D11"/>
    <mergeCell ref="A8:D8"/>
    <mergeCell ref="E8:H8"/>
    <mergeCell ref="I8:L8"/>
    <mergeCell ref="E16:H16"/>
    <mergeCell ref="E17:H17"/>
    <mergeCell ref="A13:D14"/>
    <mergeCell ref="I13:L14"/>
    <mergeCell ref="A9:D9"/>
    <mergeCell ref="E9:H9"/>
    <mergeCell ref="A10:D10"/>
    <mergeCell ref="E10:H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9AFB894D5DDF84E86C1FBBE8322856D" ma:contentTypeVersion="4" ma:contentTypeDescription="Crear nuevo documento." ma:contentTypeScope="" ma:versionID="4259a872bdfa1810d221117f692e0332">
  <xsd:schema xmlns:xsd="http://www.w3.org/2001/XMLSchema" xmlns:xs="http://www.w3.org/2001/XMLSchema" xmlns:p="http://schemas.microsoft.com/office/2006/metadata/properties" xmlns:ns2="3422ac61-f14c-4889-a224-02c3cfb85368" targetNamespace="http://schemas.microsoft.com/office/2006/metadata/properties" ma:root="true" ma:fieldsID="f659d77cefde033d7e6f89b5bdbf3d74" ns2:_="">
    <xsd:import namespace="3422ac61-f14c-4889-a224-02c3cfb853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22ac61-f14c-4889-a224-02c3cfb853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08F7C6-8B8B-4AF9-B8B0-D5C31B1284C0}">
  <ds:schemaRefs>
    <ds:schemaRef ds:uri="http://purl.org/dc/elements/1.1/"/>
    <ds:schemaRef ds:uri="http://purl.org/dc/terms/"/>
    <ds:schemaRef ds:uri="http://schemas.microsoft.com/office/2006/metadata/properties"/>
    <ds:schemaRef ds:uri="3422ac61-f14c-4889-a224-02c3cfb85368"/>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3167841A-3F38-4E58-B84F-CAA804CEA328}">
  <ds:schemaRefs>
    <ds:schemaRef ds:uri="http://schemas.microsoft.com/sharepoint/v3/contenttype/forms"/>
  </ds:schemaRefs>
</ds:datastoreItem>
</file>

<file path=customXml/itemProps3.xml><?xml version="1.0" encoding="utf-8"?>
<ds:datastoreItem xmlns:ds="http://schemas.openxmlformats.org/officeDocument/2006/customXml" ds:itemID="{3BD8FD73-852D-4BBA-99E5-9C8417574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22ac61-f14c-4889-a224-02c3cfb853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Compromiso institucional</vt:lpstr>
      <vt:lpstr>Grupos de interés</vt:lpstr>
      <vt:lpstr>Acciones prevención y rep.</vt:lpstr>
      <vt:lpstr>Monitoreo y evaluación</vt:lpstr>
      <vt:lpstr>Resultados</vt:lpstr>
      <vt:lpstr>Recomendaciones estructurales</vt:lpstr>
      <vt:lpstr>Recomendaciones específicas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cp:keywords/>
  <dc:description/>
  <cp:lastModifiedBy>Cindy Rodriguez</cp:lastModifiedBy>
  <cp:revision/>
  <dcterms:created xsi:type="dcterms:W3CDTF">2024-05-10T17:04:19Z</dcterms:created>
  <dcterms:modified xsi:type="dcterms:W3CDTF">2024-08-14T16:05:44Z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0x01010019AFB894D5DDF84E86C1FBBE8322856D</vt:lpwstr>
  </property>
</Properties>
</file>